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3" activeTab="1"/>
  </bookViews>
  <sheets>
    <sheet name="Castles" sheetId="1" r:id="rId1"/>
    <sheet name="ResourceNeed" sheetId="2" r:id="rId2"/>
    <sheet name="Settlers" sheetId="3" r:id="rId3"/>
    <sheet name="Production" sheetId="4" r:id="rId4"/>
  </sheets>
  <definedNames>
    <definedName name="castle_baldur">'ResourceNeed'!$H$9</definedName>
    <definedName name="castle_barracks">'ResourceNeed'!$B$2</definedName>
    <definedName name="castle_base_slots">'ResourceNeed'!$I$6</definedName>
    <definedName name="castle_catapultWorkshop">'ResourceNeed'!$B$4</definedName>
    <definedName name="castle_constructionOffice">'ResourceNeed'!$E$5</definedName>
    <definedName name="castle_goodsPerTrip">'ResourceNeed'!$B$30</definedName>
    <definedName name="castle_laboratory">'ResourceNeed'!$E$9</definedName>
    <definedName name="castle_livingQuarters">'ResourceNeed'!$B$8</definedName>
    <definedName name="castle_marketplace">'ResourceNeed'!$E$4</definedName>
    <definedName name="castle_militaryTrainingGrounds">'ResourceNeed'!$E$2</definedName>
    <definedName name="castle_mine">'ResourceNeed'!$B$7</definedName>
    <definedName name="castle_oremultiplier">'ResourceNeed'!$I$2</definedName>
    <definedName name="castle_orestars">'ResourceNeed'!$I$3</definedName>
    <definedName name="castle_quarry">'ResourceNeed'!$B$5</definedName>
    <definedName name="castle_sanctuary">'ResourceNeed'!$H$8</definedName>
    <definedName name="castle_sawmill">'ResourceNeed'!$B$6</definedName>
    <definedName name="castle_senate">'ResourceNeed'!$E$7</definedName>
    <definedName name="castle_slots_available">'ResourceNeed'!$H$6</definedName>
    <definedName name="castle_slots_base">'ResourceNeed'!$I$6</definedName>
    <definedName name="castle_slots_extended">'ResourceNeed'!$J$6</definedName>
    <definedName name="castle_slots_in_use">'ResourceNeed'!$G$6</definedName>
    <definedName name="castle_stables">'ResourceNeed'!$B$3</definedName>
    <definedName name="castle_stonemultiplier">'ResourceNeed'!$G$2</definedName>
    <definedName name="castle_stonestars">'ResourceNeed'!$G$3</definedName>
    <definedName name="castle_storehouse">'ResourceNeed'!$B$9</definedName>
    <definedName name="castle_tournamentField">'ResourceNeed'!$E$3</definedName>
    <definedName name="castle_tradeTripsPerDay">'ResourceNeed'!$C$30</definedName>
    <definedName name="castle_treasury">'ResourceNeed'!$E$8</definedName>
    <definedName name="castle_troopmultiplier">'ResourceNeed'!$H$2</definedName>
    <definedName name="castle_wall">'ResourceNeed'!$E$6</definedName>
    <definedName name="castle_woodmultiplier">'ResourceNeed'!$H$2</definedName>
    <definedName name="castle_woodstars">'ResourceNeed'!$H$3</definedName>
    <definedName name="goldpack_gems">'Castles'!$H$3</definedName>
    <definedName name="goldpack_ore">'Castles'!$G$3</definedName>
    <definedName name="goldpack_stone">'Castles'!$E$3</definedName>
    <definedName name="goldpack_troops">'Castles'!$I$3</definedName>
    <definedName name="goldpack_wood">'Castles'!$F$3</definedName>
    <definedName name="premiumpack">'Castles'!$K$2</definedName>
    <definedName name="range_baseBuildTimePercentage">'Production'!$F$2:$H$102</definedName>
    <definedName name="range_castles">'Castles'!$A$7:$Z$100</definedName>
    <definedName name="range_maxSettlers">'Settlers'!$P$2:$Q$101</definedName>
    <definedName name="range_ore">'Production'!$D$2:$F$102</definedName>
    <definedName name="range_settlers">'Settlers'!$A$2:$P$102</definedName>
    <definedName name="range_stone">'Production'!$B$2:$F$102</definedName>
    <definedName name="range_traders">'Production'!$F$2:$G$102</definedName>
    <definedName name="range_troopCapacity">'Production'!$E$2:$F$102</definedName>
    <definedName name="range_wood">'Production'!$C$2:$F$102</definedName>
    <definedName name="selected_castle">'ResourceNeed'!$B$1</definedName>
    <definedName name="silverpack_gems">'Castles'!$H$2</definedName>
    <definedName name="silverpack_ore">'Castles'!$G$2</definedName>
    <definedName name="silverpack_stone">'Castles'!$E$2</definedName>
    <definedName name="silverpack_troops">'Castles'!$I$2</definedName>
    <definedName name="silverpack_wood">'Castles'!$F$2</definedName>
    <definedName name="speedday">'Castles'!$N$2</definedName>
    <definedName name="troopmultiplier">'ResourceNeed'!$J$2</definedName>
    <definedName name="troops_archers_baseTime">'Production'!$K$5</definedName>
    <definedName name="troops_archers_orecost">'Production'!$O$5</definedName>
    <definedName name="troops_archers_stonecost">'Production'!$M$5</definedName>
    <definedName name="troops_archers_woodcost">'Production'!$N$5</definedName>
    <definedName name="troops_armoredCavalry_baseTime">'Production'!$K$9</definedName>
    <definedName name="troops_armoredCavalry_orecost">'Production'!$O$9</definedName>
    <definedName name="troops_armoredCavalry_stonecost">'Production'!$M$9</definedName>
    <definedName name="troops_armoredCavalry_woodcost">'Production'!$N$9</definedName>
    <definedName name="troops_axemen_baseTime">'Production'!$K$4</definedName>
    <definedName name="troops_axemen_orecost">'Production'!$O$4</definedName>
    <definedName name="troops_axemen_stonecost">'Production'!$M$4</definedName>
    <definedName name="troops_axemen_woodcost">'Production'!$N$4</definedName>
    <definedName name="troops_catapults_baseTime">'Production'!$K$12</definedName>
    <definedName name="troops_catapults_orecost">'Production'!$O$12</definedName>
    <definedName name="troops_catapults_stonecost">'Production'!$M$12</definedName>
    <definedName name="troops_catapults_woodcost">'Production'!$N$12</definedName>
    <definedName name="troops_cavalry_baseTime">'Production'!$K$8</definedName>
    <definedName name="troops_cavalry_orecost">'Production'!$O$8</definedName>
    <definedName name="troops_cavalry_stonecost">'Production'!$M$8</definedName>
    <definedName name="troops_cavalry_woodcost">'Production'!$N$8</definedName>
    <definedName name="troops_knightsTemplar_baseTime">'Production'!$K$6</definedName>
    <definedName name="troops_knightsTemplar_orecost">'Production'!$O$6</definedName>
    <definedName name="troops_knightsTemplar_stonecost">'Production'!$M$6</definedName>
    <definedName name="troops_knightsTemplar_woodcost">'Production'!$N$6</definedName>
    <definedName name="troops_lightInfantry_baseTime">'Production'!$K$2</definedName>
    <definedName name="troops_lightInfantry_orecost">'Production'!$O$2</definedName>
    <definedName name="troops_lightInfantry_stonecost">'Production'!$M$2</definedName>
    <definedName name="troops_lightInfantry_woodcost">'Production'!$N$2</definedName>
    <definedName name="troops_paladins_baseTime">'Production'!$K$10</definedName>
    <definedName name="troops_paladins_orecost">'Production'!$O$10</definedName>
    <definedName name="troops_paladins_stonecost">'Production'!$M$10</definedName>
    <definedName name="troops_paladins_woodcost">'Production'!$N$10</definedName>
    <definedName name="troops_rams_baseTime">'Production'!$K$11</definedName>
    <definedName name="troops_rams_orecost">'Production'!$O$11</definedName>
    <definedName name="troops_rams_stonecost">'Production'!$M$11</definedName>
    <definedName name="troops_rams_woodcost">'Production'!$N$11</definedName>
    <definedName name="troops_spies_baseTime">'Production'!$K$7</definedName>
    <definedName name="troops_spies_orecost">'Production'!$O$7</definedName>
    <definedName name="troops_spies_stonecost">'Production'!$M$7</definedName>
    <definedName name="troops_spies_woodcost">'Production'!$N$7</definedName>
    <definedName name="troops_swordsmen_baseTime">'Production'!$K$3</definedName>
    <definedName name="troops_swordsmen_orecost">'Production'!$O$3</definedName>
    <definedName name="troops_swordsmen_stonecost">'Production'!$M$3</definedName>
    <definedName name="troops_swordsmen_woodcost">'Production'!$N$3</definedName>
    <definedName name="castle_storehouse" localSheetId="0">'ResourceNeed'!$F$4</definedName>
    <definedName name="_xlnm.Print_Area" localSheetId="0">#N/A</definedName>
    <definedName name="SHEET_TITLE" localSheetId="0">"Castles"</definedName>
    <definedName name="_xlnm.Print_Area" localSheetId="1">#N/A</definedName>
    <definedName name="SHEET_TITLE" localSheetId="1">"ResourceNeed"</definedName>
    <definedName name="_xlnm.Print_Area" localSheetId="2">#N/A</definedName>
    <definedName name="SHEET_TITLE" localSheetId="2">"Settlers"</definedName>
    <definedName name="multiplier_ore" localSheetId="3">'ResourceNeed'!$K$3</definedName>
    <definedName name="_xlnm.Print_Area" localSheetId="3">#N/A</definedName>
    <definedName name="SHEET_TITLE" localSheetId="3">"Production"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<sst xmlns="http://schemas.openxmlformats.org/spreadsheetml/2006/main" count="259" uniqueCount="138">
  <si>
    <t>bonus packs</t>
  </si>
  <si>
    <t>Stone</t>
  </si>
  <si>
    <t>Wood</t>
  </si>
  <si>
    <t>Ore</t>
  </si>
  <si>
    <t>Gems</t>
  </si>
  <si>
    <t>Troops</t>
  </si>
  <si>
    <t>Premium Pack</t>
  </si>
  <si>
    <t xml:space="preserve">Speedday </t>
  </si>
  <si>
    <t>silver</t>
  </si>
  <si>
    <t>no</t>
  </si>
  <si>
    <t>gold</t>
  </si>
  <si>
    <t>Bonus stars</t>
  </si>
  <si>
    <t>Building Levels</t>
  </si>
  <si>
    <t>Name</t>
  </si>
  <si>
    <t>BaseBuildingSlots</t>
  </si>
  <si>
    <t>BuildingSlotExtention</t>
  </si>
  <si>
    <t>Sanctuary</t>
  </si>
  <si>
    <t>Baldur</t>
  </si>
  <si>
    <t>Quarry</t>
  </si>
  <si>
    <t>Sawmill</t>
  </si>
  <si>
    <t>Mine</t>
  </si>
  <si>
    <t>Barracks</t>
  </si>
  <si>
    <t>Stables</t>
  </si>
  <si>
    <t>CatapultWorkshop</t>
  </si>
  <si>
    <t>LivingQuarters</t>
  </si>
  <si>
    <t>ConstructionOffice</t>
  </si>
  <si>
    <t>Storehouse</t>
  </si>
  <si>
    <t>Senate</t>
  </si>
  <si>
    <t>Laboratory</t>
  </si>
  <si>
    <t>MilitaryTrainingGrounds</t>
  </si>
  <si>
    <t>TournamentField</t>
  </si>
  <si>
    <t>Marketplace</t>
  </si>
  <si>
    <t>Wall</t>
  </si>
  <si>
    <t>Treasury</t>
  </si>
  <si>
    <t>Hidingplace</t>
  </si>
  <si>
    <t>Headquarters</t>
  </si>
  <si>
    <t>yes</t>
  </si>
  <si>
    <t>.</t>
  </si>
  <si>
    <t>Attack Castle - 5 stars</t>
  </si>
  <si>
    <t>Attack Castle - 0 stars</t>
  </si>
  <si>
    <t>Troopfarm 10 - 5 stars</t>
  </si>
  <si>
    <t>Troopfarm 10 - 0 stars</t>
  </si>
  <si>
    <t>Troopfarm 8 - 5 stars</t>
  </si>
  <si>
    <t>Troopfarm 8 - 0 stars</t>
  </si>
  <si>
    <t>Troopfarm 7 - 5 stars</t>
  </si>
  <si>
    <t>Troopfarm 7 - 0 stars</t>
  </si>
  <si>
    <t>Troopfarm 6 - 5 stars</t>
  </si>
  <si>
    <t>Troopfarm 6 - 0 stars</t>
  </si>
  <si>
    <t>Troopfarm 5 - 5 stars</t>
  </si>
  <si>
    <t>Troopfarm 5 - 0 stars</t>
  </si>
  <si>
    <t>Troopfarm 4 - 5 stars</t>
  </si>
  <si>
    <t>Troopfarm 4 - 0 stars</t>
  </si>
  <si>
    <t>Troopfarm 3 - 5 stars</t>
  </si>
  <si>
    <t>Troopfarm 3 - 0 stars</t>
  </si>
  <si>
    <t>Troopfarm 2 - 5 stars</t>
  </si>
  <si>
    <t>Troopfarm 2 - 0 stars</t>
  </si>
  <si>
    <t>Troopfarm 1 - 5 stars</t>
  </si>
  <si>
    <t>Troopfarm 1 - 0 stars</t>
  </si>
  <si>
    <t>Selected Castle</t>
  </si>
  <si>
    <t>Hiding Place</t>
  </si>
  <si>
    <t>Military Training Grounds</t>
  </si>
  <si>
    <t>Bonus Multiplier</t>
  </si>
  <si>
    <t>Tournament Field</t>
  </si>
  <si>
    <t>x</t>
  </si>
  <si>
    <t>Bonus Stars</t>
  </si>
  <si>
    <t>Catapult workshop</t>
  </si>
  <si>
    <t>Construction Office</t>
  </si>
  <si>
    <t>#in use</t>
  </si>
  <si>
    <t># available</t>
  </si>
  <si>
    <t>base #</t>
  </si>
  <si>
    <t>extended</t>
  </si>
  <si>
    <t>Slots</t>
  </si>
  <si>
    <t>Living Quarters</t>
  </si>
  <si>
    <t>train</t>
  </si>
  <si>
    <t>training time(seconds)</t>
  </si>
  <si>
    <t>#/hour</t>
  </si>
  <si>
    <t>stone/h</t>
  </si>
  <si>
    <t>wood/h</t>
  </si>
  <si>
    <t>ore/h</t>
  </si>
  <si>
    <t>#/day</t>
  </si>
  <si>
    <t>stone/day</t>
  </si>
  <si>
    <t>wood/day</t>
  </si>
  <si>
    <t>ore/day</t>
  </si>
  <si>
    <t># per cycle</t>
  </si>
  <si>
    <t>time per cycle</t>
  </si>
  <si>
    <t>Light infantry</t>
  </si>
  <si>
    <t>Swordsmen</t>
  </si>
  <si>
    <t>Axemen</t>
  </si>
  <si>
    <t>Archer</t>
  </si>
  <si>
    <t>Knights Templar</t>
  </si>
  <si>
    <t>Spies</t>
  </si>
  <si>
    <t>Cavalry</t>
  </si>
  <si>
    <t>Armored Cavalry</t>
  </si>
  <si>
    <t>Paladins</t>
  </si>
  <si>
    <t>Ram</t>
  </si>
  <si>
    <t>Catapult</t>
  </si>
  <si>
    <t>Troop Total</t>
  </si>
  <si>
    <t>Building level needed</t>
  </si>
  <si>
    <t>per trip</t>
  </si>
  <si>
    <t>#trips/day</t>
  </si>
  <si>
    <t>Troop + Market Total</t>
  </si>
  <si>
    <t>Actual Resource Production</t>
  </si>
  <si>
    <t>balance</t>
  </si>
  <si>
    <t># settlers you can house</t>
  </si>
  <si>
    <t>living quarters level needed</t>
  </si>
  <si>
    <t>Military Training ground needed*</t>
  </si>
  <si>
    <t># building staff needed</t>
  </si>
  <si>
    <t># settlers left for army</t>
  </si>
  <si>
    <t>* in order to move all the troops produced in one day, in one trip</t>
  </si>
  <si>
    <t>level</t>
  </si>
  <si>
    <t>quarry</t>
  </si>
  <si>
    <t>sawmill</t>
  </si>
  <si>
    <t>mine</t>
  </si>
  <si>
    <t>barracks</t>
  </si>
  <si>
    <t>stables</t>
  </si>
  <si>
    <t>catapultworkshop</t>
  </si>
  <si>
    <t>tournamentfield</t>
  </si>
  <si>
    <t>militarytraininggrounds</t>
  </si>
  <si>
    <t>marketplace</t>
  </si>
  <si>
    <t>wall</t>
  </si>
  <si>
    <t>constructionoffice</t>
  </si>
  <si>
    <t>laboratory</t>
  </si>
  <si>
    <t>senate</t>
  </si>
  <si>
    <t>treasury</t>
  </si>
  <si>
    <t>livingquartersprovide for</t>
  </si>
  <si>
    <t>base/h</t>
  </si>
  <si>
    <t>actual stone/h</t>
  </si>
  <si>
    <t>actual wood/h</t>
  </si>
  <si>
    <t>actual ore/h</t>
  </si>
  <si>
    <t>TroopCapacity</t>
  </si>
  <si>
    <t># traders</t>
  </si>
  <si>
    <t>TroopBuilttime %</t>
  </si>
  <si>
    <t>Base Build Time(in minutes)</t>
  </si>
  <si>
    <t>StoneCost</t>
  </si>
  <si>
    <t>WoodCost</t>
  </si>
  <si>
    <t>OreCost</t>
  </si>
  <si>
    <t>SettlerCost</t>
  </si>
  <si>
    <t>Paladin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</si>
</sst>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"/>
    <numFmt numFmtId="166" formatCode="#,##0"/>
    <numFmt numFmtId="167" formatCode="HH:MM:SS"/>
    <numFmt numFmtId="168" formatCode="#,##0.0000"/>
    <numFmt numFmtId="169" formatCode="GENERAL"/>
    <numFmt numFmtId="170" formatCode="0.00%"/>
    <numFmt numFmtId="171" formatCode="#,##0.000"/>
    <numFmt numFmtId="172" formatCode="#,##0.00"/>
  </numFmts>
  <fonts count="4">
    <font>
      <sz val="10"/>
      <name val="Sans"/>
      <family val="2"/>
    </font>
    <font>
      <sz val="10"/>
      <name val="Arial"/>
      <family val="0"/>
    </font>
    <font>
      <sz val="10"/>
      <color indexed="8"/>
      <name val="Sans"/>
      <family val="2"/>
    </font>
    <font>
      <sz val="10"/>
      <name val="FreeSans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8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2" fillId="4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3" fillId="2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2" fillId="5" borderId="0" applyNumberFormat="0" applyBorder="0">
      <alignment/>
      <protection/>
    </xf>
    <xf numFmtId="164" fontId="3" fillId="0" borderId="0" applyNumberFormat="0" applyBorder="0">
      <alignment/>
      <protection/>
    </xf>
    <xf numFmtId="164" fontId="2" fillId="5" borderId="0" applyNumberFormat="0" applyBorder="0">
      <alignment/>
      <protection/>
    </xf>
    <xf numFmtId="164" fontId="3" fillId="4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3" fillId="0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2" fillId="4" borderId="0" applyNumberFormat="0" applyBorder="0">
      <alignment/>
      <protection/>
    </xf>
    <xf numFmtId="164" fontId="3" fillId="6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2" fillId="5" borderId="0" applyNumberFormat="0" applyBorder="0">
      <alignment/>
      <protection/>
    </xf>
    <xf numFmtId="164" fontId="3" fillId="5" borderId="0" applyNumberFormat="0" applyBorder="0">
      <alignment/>
      <protection/>
    </xf>
    <xf numFmtId="164" fontId="3" fillId="0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3" fillId="0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3" fillId="0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2" fillId="3" borderId="0" applyNumberFormat="0" applyBorder="0">
      <alignment/>
      <protection/>
    </xf>
    <xf numFmtId="164" fontId="2" fillId="0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2" fillId="2" borderId="0" applyNumberFormat="0" applyBorder="0">
      <alignment/>
      <protection/>
    </xf>
    <xf numFmtId="164" fontId="2" fillId="3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2" fillId="5" borderId="0" applyNumberFormat="0" applyBorder="0">
      <alignment/>
      <protection/>
    </xf>
    <xf numFmtId="164" fontId="3" fillId="6" borderId="0" applyNumberFormat="0" applyBorder="0">
      <alignment/>
      <protection/>
    </xf>
    <xf numFmtId="164" fontId="2" fillId="4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2" fillId="3" borderId="0" applyNumberFormat="0" applyBorder="0">
      <alignment/>
      <protection/>
    </xf>
    <xf numFmtId="164" fontId="2" fillId="3" borderId="0" applyNumberFormat="0" applyBorder="0">
      <alignment/>
      <protection/>
    </xf>
    <xf numFmtId="164" fontId="3" fillId="0" borderId="0" applyNumberFormat="0" applyBorder="0">
      <alignment/>
      <protection/>
    </xf>
    <xf numFmtId="164" fontId="3" fillId="0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2" fillId="4" borderId="0" applyNumberFormat="0" applyBorder="0">
      <alignment/>
      <protection/>
    </xf>
    <xf numFmtId="164" fontId="2" fillId="0" borderId="0" applyNumberFormat="0" applyBorder="0">
      <alignment/>
      <protection/>
    </xf>
    <xf numFmtId="164" fontId="3" fillId="6" borderId="0" applyNumberFormat="0" applyBorder="0">
      <alignment/>
      <protection/>
    </xf>
    <xf numFmtId="164" fontId="2" fillId="3" borderId="0" applyNumberFormat="0" applyBorder="0">
      <alignment/>
      <protection/>
    </xf>
    <xf numFmtId="164" fontId="2" fillId="5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3" fillId="6" borderId="0" applyNumberFormat="0" applyBorder="0">
      <alignment/>
      <protection/>
    </xf>
    <xf numFmtId="164" fontId="2" fillId="0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2" fillId="3" borderId="0" applyNumberFormat="0" applyBorder="0">
      <alignment/>
      <protection/>
    </xf>
    <xf numFmtId="164" fontId="3" fillId="3" borderId="0" applyNumberFormat="0" applyBorder="0">
      <alignment/>
      <protection/>
    </xf>
    <xf numFmtId="164" fontId="2" fillId="0" borderId="0" applyNumberFormat="0">
      <alignment/>
      <protection/>
    </xf>
    <xf numFmtId="164" fontId="3" fillId="0" borderId="0" applyNumberFormat="0" applyBorder="0">
      <alignment/>
      <protection/>
    </xf>
    <xf numFmtId="164" fontId="2" fillId="4" borderId="0" applyNumberFormat="0" applyBorder="0">
      <alignment/>
      <protection/>
    </xf>
  </cellStyleXfs>
  <cellXfs count="102">
    <xf numFmtId="164" fontId="0" fillId="0" borderId="0" xfId="0" applyAlignment="1">
      <alignment/>
    </xf>
    <xf numFmtId="164" fontId="2" fillId="0" borderId="0" xfId="78">
      <alignment/>
      <protection/>
    </xf>
    <xf numFmtId="164" fontId="2" fillId="7" borderId="1" xfId="0" applyFont="1" applyFill="1" applyBorder="1" applyAlignment="1" applyProtection="1">
      <alignment horizontal="center"/>
      <protection/>
    </xf>
    <xf numFmtId="164" fontId="2" fillId="7" borderId="2" xfId="0" applyFont="1" applyFill="1" applyBorder="1" applyAlignment="1" applyProtection="1">
      <alignment horizontal="center"/>
      <protection/>
    </xf>
    <xf numFmtId="164" fontId="2" fillId="7" borderId="3" xfId="0" applyFont="1" applyFill="1" applyBorder="1" applyAlignment="1" applyProtection="1">
      <alignment horizontal="center"/>
      <protection/>
    </xf>
    <xf numFmtId="164" fontId="2" fillId="7" borderId="4" xfId="0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2" fillId="0" borderId="1" xfId="0" applyFont="1" applyFill="1" applyBorder="1" applyAlignment="1" applyProtection="1">
      <alignment horizontal="center"/>
      <protection/>
    </xf>
    <xf numFmtId="164" fontId="2" fillId="6" borderId="2" xfId="0" applyFont="1" applyFill="1" applyBorder="1" applyAlignment="1" applyProtection="1">
      <alignment horizontal="center"/>
      <protection/>
    </xf>
    <xf numFmtId="164" fontId="2" fillId="6" borderId="3" xfId="0" applyFont="1" applyFill="1" applyBorder="1" applyAlignment="1" applyProtection="1">
      <alignment horizontal="center"/>
      <protection/>
    </xf>
    <xf numFmtId="164" fontId="2" fillId="6" borderId="4" xfId="0" applyFont="1" applyFill="1" applyBorder="1" applyAlignment="1" applyProtection="1">
      <alignment horizontal="center"/>
      <protection/>
    </xf>
    <xf numFmtId="164" fontId="2" fillId="6" borderId="5" xfId="0" applyFont="1" applyFill="1" applyBorder="1" applyAlignment="1" applyProtection="1">
      <alignment horizontal="center"/>
      <protection/>
    </xf>
    <xf numFmtId="164" fontId="2" fillId="6" borderId="6" xfId="0" applyFont="1" applyFill="1" applyBorder="1" applyAlignment="1" applyProtection="1">
      <alignment horizontal="center"/>
      <protection/>
    </xf>
    <xf numFmtId="164" fontId="2" fillId="6" borderId="1" xfId="0" applyFont="1" applyFill="1" applyBorder="1" applyAlignment="1" applyProtection="1">
      <alignment horizontal="center"/>
      <protection/>
    </xf>
    <xf numFmtId="164" fontId="2" fillId="7" borderId="5" xfId="0" applyFont="1" applyFill="1" applyBorder="1" applyAlignment="1" applyProtection="1">
      <alignment horizontal="center"/>
      <protection/>
    </xf>
    <xf numFmtId="164" fontId="2" fillId="7" borderId="7" xfId="0" applyFont="1" applyFill="1" applyBorder="1" applyAlignment="1" applyProtection="1">
      <alignment horizontal="center"/>
      <protection/>
    </xf>
    <xf numFmtId="164" fontId="2" fillId="7" borderId="8" xfId="0" applyFont="1" applyFill="1" applyBorder="1" applyAlignment="1" applyProtection="1">
      <alignment horizontal="center"/>
      <protection/>
    </xf>
    <xf numFmtId="164" fontId="2" fillId="7" borderId="4" xfId="0" applyFont="1" applyFill="1" applyBorder="1" applyAlignment="1" applyProtection="1">
      <alignment/>
      <protection/>
    </xf>
    <xf numFmtId="164" fontId="2" fillId="6" borderId="8" xfId="0" applyFont="1" applyFill="1" applyBorder="1" applyAlignment="1" applyProtection="1">
      <alignment horizontal="center"/>
      <protection/>
    </xf>
    <xf numFmtId="164" fontId="2" fillId="8" borderId="8" xfId="0" applyFont="1" applyFill="1" applyBorder="1" applyAlignment="1" applyProtection="1">
      <alignment horizontal="center"/>
      <protection/>
    </xf>
    <xf numFmtId="164" fontId="2" fillId="8" borderId="8" xfId="0" applyFont="1" applyFill="1" applyBorder="1" applyAlignment="1" applyProtection="1">
      <alignment/>
      <protection/>
    </xf>
    <xf numFmtId="164" fontId="2" fillId="8" borderId="3" xfId="0" applyFont="1" applyFill="1" applyBorder="1" applyAlignment="1" applyProtection="1">
      <alignment horizontal="center"/>
      <protection/>
    </xf>
    <xf numFmtId="164" fontId="2" fillId="8" borderId="4" xfId="0" applyFont="1" applyFill="1" applyBorder="1" applyAlignment="1" applyProtection="1">
      <alignment/>
      <protection/>
    </xf>
    <xf numFmtId="164" fontId="2" fillId="8" borderId="3" xfId="0" applyFont="1" applyFill="1" applyBorder="1" applyAlignment="1" applyProtection="1">
      <alignment/>
      <protection/>
    </xf>
    <xf numFmtId="164" fontId="2" fillId="6" borderId="3" xfId="0" applyFont="1" applyFill="1" applyBorder="1" applyAlignment="1" applyProtection="1">
      <alignment/>
      <protection/>
    </xf>
    <xf numFmtId="164" fontId="2" fillId="8" borderId="5" xfId="0" applyFont="1" applyFill="1" applyBorder="1" applyAlignment="1" applyProtection="1">
      <alignment/>
      <protection/>
    </xf>
    <xf numFmtId="164" fontId="2" fillId="8" borderId="5" xfId="0" applyFont="1" applyFill="1" applyBorder="1" applyAlignment="1" applyProtection="1">
      <alignment horizontal="center"/>
      <protection/>
    </xf>
    <xf numFmtId="164" fontId="2" fillId="6" borderId="5" xfId="0" applyFont="1" applyFill="1" applyBorder="1" applyAlignment="1" applyProtection="1">
      <alignment/>
      <protection/>
    </xf>
    <xf numFmtId="164" fontId="2" fillId="8" borderId="1" xfId="0" applyFont="1" applyFill="1" applyBorder="1" applyAlignment="1" applyProtection="1">
      <alignment/>
      <protection/>
    </xf>
    <xf numFmtId="164" fontId="2" fillId="8" borderId="6" xfId="0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/>
      <protection/>
    </xf>
    <xf numFmtId="164" fontId="2" fillId="7" borderId="0" xfId="0" applyFont="1" applyFill="1" applyBorder="1" applyAlignment="1" applyProtection="1">
      <alignment/>
      <protection/>
    </xf>
    <xf numFmtId="164" fontId="2" fillId="6" borderId="4" xfId="0" applyFont="1" applyFill="1" applyBorder="1" applyAlignment="1" applyProtection="1">
      <alignment horizontal="center"/>
      <protection locked="0"/>
    </xf>
    <xf numFmtId="164" fontId="2" fillId="0" borderId="4" xfId="0" applyFont="1" applyFill="1" applyBorder="1" applyAlignment="1" applyProtection="1">
      <alignment/>
      <protection/>
    </xf>
    <xf numFmtId="164" fontId="2" fillId="7" borderId="4" xfId="0" applyFont="1" applyFill="1" applyBorder="1" applyAlignment="1" applyProtection="1">
      <alignment horizontal="center" vertical="center"/>
      <protection/>
    </xf>
    <xf numFmtId="164" fontId="2" fillId="7" borderId="3" xfId="0" applyFont="1" applyFill="1" applyBorder="1" applyAlignment="1" applyProtection="1">
      <alignment/>
      <protection/>
    </xf>
    <xf numFmtId="164" fontId="2" fillId="0" borderId="3" xfId="0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/>
      <protection/>
    </xf>
    <xf numFmtId="164" fontId="2" fillId="0" borderId="3" xfId="0" applyFont="1" applyFill="1" applyBorder="1" applyAlignment="1" applyProtection="1">
      <alignment horizontal="center" vertical="center"/>
      <protection/>
    </xf>
    <xf numFmtId="164" fontId="2" fillId="0" borderId="9" xfId="0" applyFont="1" applyFill="1" applyBorder="1" applyAlignment="1" applyProtection="1">
      <alignment/>
      <protection/>
    </xf>
    <xf numFmtId="164" fontId="2" fillId="0" borderId="5" xfId="0" applyFont="1" applyFill="1" applyBorder="1" applyAlignment="1" applyProtection="1">
      <alignment horizontal="center"/>
      <protection/>
    </xf>
    <xf numFmtId="164" fontId="2" fillId="7" borderId="10" xfId="0" applyFont="1" applyFill="1" applyBorder="1" applyAlignment="1" applyProtection="1">
      <alignment/>
      <protection/>
    </xf>
    <xf numFmtId="164" fontId="2" fillId="0" borderId="5" xfId="0" applyFont="1" applyFill="1" applyBorder="1" applyAlignment="1" applyProtection="1">
      <alignment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2" fillId="0" borderId="7" xfId="0" applyFont="1" applyFill="1" applyBorder="1" applyAlignment="1" applyProtection="1">
      <alignment/>
      <protection/>
    </xf>
    <xf numFmtId="164" fontId="2" fillId="7" borderId="11" xfId="0" applyFont="1" applyFill="1" applyBorder="1" applyAlignment="1" applyProtection="1">
      <alignment horizontal="center"/>
      <protection/>
    </xf>
    <xf numFmtId="164" fontId="2" fillId="4" borderId="7" xfId="0" applyFont="1" applyFill="1" applyBorder="1" applyAlignment="1" applyProtection="1">
      <alignment vertical="center"/>
      <protection/>
    </xf>
    <xf numFmtId="164" fontId="2" fillId="0" borderId="6" xfId="0" applyFont="1" applyFill="1" applyBorder="1" applyAlignment="1" applyProtection="1">
      <alignment horizontal="center"/>
      <protection/>
    </xf>
    <xf numFmtId="164" fontId="2" fillId="7" borderId="1" xfId="0" applyFont="1" applyFill="1" applyBorder="1" applyAlignment="1" applyProtection="1">
      <alignment vertical="center"/>
      <protection/>
    </xf>
    <xf numFmtId="164" fontId="2" fillId="7" borderId="5" xfId="0" applyFont="1" applyFill="1" applyBorder="1" applyAlignment="1" applyProtection="1">
      <alignment/>
      <protection/>
    </xf>
    <xf numFmtId="164" fontId="2" fillId="0" borderId="4" xfId="0" applyFont="1" applyFill="1" applyBorder="1" applyAlignment="1" applyProtection="1">
      <alignment horizontal="center"/>
      <protection/>
    </xf>
    <xf numFmtId="164" fontId="2" fillId="7" borderId="7" xfId="0" applyFont="1" applyFill="1" applyBorder="1" applyAlignment="1" applyProtection="1">
      <alignment/>
      <protection/>
    </xf>
    <xf numFmtId="164" fontId="2" fillId="6" borderId="8" xfId="0" applyFont="1" applyFill="1" applyBorder="1" applyAlignment="1" applyProtection="1">
      <alignment horizontal="center"/>
      <protection locked="0"/>
    </xf>
    <xf numFmtId="165" fontId="2" fillId="0" borderId="8" xfId="0" applyNumberFormat="1" applyFont="1" applyFill="1" applyBorder="1" applyAlignment="1" applyProtection="1">
      <alignment/>
      <protection/>
    </xf>
    <xf numFmtId="166" fontId="2" fillId="4" borderId="8" xfId="0" applyNumberFormat="1" applyFont="1" applyFill="1" applyBorder="1" applyAlignment="1" applyProtection="1">
      <alignment/>
      <protection/>
    </xf>
    <xf numFmtId="166" fontId="2" fillId="0" borderId="8" xfId="0" applyNumberFormat="1" applyFont="1" applyFill="1" applyBorder="1" applyAlignment="1" applyProtection="1">
      <alignment/>
      <protection/>
    </xf>
    <xf numFmtId="166" fontId="2" fillId="4" borderId="3" xfId="0" applyNumberFormat="1" applyFont="1" applyFill="1" applyBorder="1" applyAlignment="1" applyProtection="1">
      <alignment/>
      <protection/>
    </xf>
    <xf numFmtId="166" fontId="2" fillId="0" borderId="4" xfId="0" applyNumberFormat="1" applyFont="1" applyFill="1" applyBorder="1" applyAlignment="1" applyProtection="1">
      <alignment/>
      <protection/>
    </xf>
    <xf numFmtId="166" fontId="2" fillId="0" borderId="2" xfId="0" applyNumberFormat="1" applyFont="1" applyFill="1" applyBorder="1" applyAlignment="1" applyProtection="1">
      <alignment/>
      <protection/>
    </xf>
    <xf numFmtId="166" fontId="2" fillId="0" borderId="3" xfId="0" applyNumberFormat="1" applyFont="1" applyFill="1" applyBorder="1" applyAlignment="1" applyProtection="1">
      <alignment/>
      <protection/>
    </xf>
    <xf numFmtId="167" fontId="2" fillId="0" borderId="1" xfId="0" applyNumberFormat="1" applyFont="1" applyFill="1" applyBorder="1" applyAlignment="1" applyProtection="1">
      <alignment/>
      <protection/>
    </xf>
    <xf numFmtId="164" fontId="2" fillId="6" borderId="3" xfId="0" applyFont="1" applyFill="1" applyBorder="1" applyAlignment="1" applyProtection="1">
      <alignment horizontal="center"/>
      <protection locked="0"/>
    </xf>
    <xf numFmtId="165" fontId="2" fillId="0" borderId="3" xfId="0" applyNumberFormat="1" applyFont="1" applyFill="1" applyBorder="1" applyAlignment="1" applyProtection="1">
      <alignment/>
      <protection/>
    </xf>
    <xf numFmtId="166" fontId="2" fillId="0" borderId="5" xfId="0" applyNumberFormat="1" applyFont="1" applyFill="1" applyBorder="1" applyAlignment="1" applyProtection="1">
      <alignment/>
      <protection/>
    </xf>
    <xf numFmtId="166" fontId="2" fillId="4" borderId="5" xfId="0" applyNumberFormat="1" applyFont="1" applyFill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64" fontId="2" fillId="0" borderId="6" xfId="0" applyFont="1" applyFill="1" applyBorder="1" applyAlignment="1" applyProtection="1">
      <alignment/>
      <protection/>
    </xf>
    <xf numFmtId="165" fontId="2" fillId="0" borderId="6" xfId="0" applyNumberFormat="1" applyFont="1" applyFill="1" applyBorder="1" applyAlignment="1" applyProtection="1">
      <alignment/>
      <protection/>
    </xf>
    <xf numFmtId="166" fontId="2" fillId="0" borderId="6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4" fontId="2" fillId="7" borderId="9" xfId="0" applyFont="1" applyFill="1" applyBorder="1" applyAlignment="1" applyProtection="1">
      <alignment/>
      <protection/>
    </xf>
    <xf numFmtId="164" fontId="2" fillId="0" borderId="2" xfId="0" applyFont="1" applyFill="1" applyBorder="1" applyAlignment="1" applyProtection="1">
      <alignment horizontal="center"/>
      <protection/>
    </xf>
    <xf numFmtId="164" fontId="2" fillId="7" borderId="8" xfId="0" applyFont="1" applyFill="1" applyBorder="1" applyAlignment="1" applyProtection="1">
      <alignment/>
      <protection/>
    </xf>
    <xf numFmtId="165" fontId="2" fillId="0" borderId="2" xfId="0" applyNumberFormat="1" applyFont="1" applyFill="1" applyBorder="1" applyAlignment="1" applyProtection="1">
      <alignment/>
      <protection/>
    </xf>
    <xf numFmtId="164" fontId="2" fillId="6" borderId="1" xfId="0" applyFont="1" applyFill="1" applyBorder="1" applyAlignment="1" applyProtection="1">
      <alignment horizontal="center"/>
      <protection locked="0"/>
    </xf>
    <xf numFmtId="164" fontId="2" fillId="0" borderId="0" xfId="0" applyFont="1" applyFill="1" applyBorder="1" applyAlignment="1" applyProtection="1">
      <alignment/>
      <protection locked="0"/>
    </xf>
    <xf numFmtId="165" fontId="2" fillId="0" borderId="0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 applyProtection="1">
      <alignment/>
      <protection/>
    </xf>
    <xf numFmtId="166" fontId="2" fillId="0" borderId="2" xfId="0" applyNumberFormat="1" applyFont="1" applyFill="1" applyBorder="1" applyAlignment="1" applyProtection="1">
      <alignment horizontal="center"/>
      <protection/>
    </xf>
    <xf numFmtId="166" fontId="2" fillId="4" borderId="12" xfId="0" applyNumberFormat="1" applyFont="1" applyFill="1" applyBorder="1" applyAlignment="1" applyProtection="1">
      <alignment/>
      <protection/>
    </xf>
    <xf numFmtId="164" fontId="2" fillId="0" borderId="8" xfId="0" applyFont="1" applyFill="1" applyBorder="1" applyAlignment="1" applyProtection="1">
      <alignment/>
      <protection/>
    </xf>
    <xf numFmtId="164" fontId="2" fillId="6" borderId="1" xfId="0" applyFont="1" applyFill="1" applyBorder="1" applyAlignment="1" applyProtection="1">
      <alignment/>
      <protection locked="0"/>
    </xf>
    <xf numFmtId="166" fontId="2" fillId="4" borderId="7" xfId="0" applyNumberFormat="1" applyFont="1" applyFill="1" applyBorder="1" applyAlignment="1" applyProtection="1">
      <alignment/>
      <protection/>
    </xf>
    <xf numFmtId="166" fontId="2" fillId="4" borderId="1" xfId="0" applyNumberFormat="1" applyFont="1" applyFill="1" applyBorder="1" applyAlignment="1" applyProtection="1">
      <alignment/>
      <protection/>
    </xf>
    <xf numFmtId="164" fontId="2" fillId="4" borderId="10" xfId="0" applyFont="1" applyFill="1" applyBorder="1" applyAlignment="1" applyProtection="1">
      <alignment/>
      <protection/>
    </xf>
    <xf numFmtId="164" fontId="2" fillId="4" borderId="5" xfId="0" applyFont="1" applyFill="1" applyBorder="1" applyAlignment="1" applyProtection="1">
      <alignment horizontal="center"/>
      <protection/>
    </xf>
    <xf numFmtId="166" fontId="2" fillId="7" borderId="5" xfId="0" applyNumberFormat="1" applyFont="1" applyFill="1" applyBorder="1" applyAlignment="1" applyProtection="1">
      <alignment/>
      <protection/>
    </xf>
    <xf numFmtId="164" fontId="2" fillId="4" borderId="4" xfId="0" applyFont="1" applyFill="1" applyBorder="1" applyAlignment="1" applyProtection="1">
      <alignment/>
      <protection/>
    </xf>
    <xf numFmtId="166" fontId="2" fillId="0" borderId="9" xfId="0" applyNumberFormat="1" applyFont="1" applyFill="1" applyBorder="1" applyAlignment="1" applyProtection="1">
      <alignment/>
      <protection/>
    </xf>
    <xf numFmtId="164" fontId="2" fillId="4" borderId="1" xfId="0" applyFont="1" applyFill="1" applyBorder="1" applyAlignment="1" applyProtection="1">
      <alignment/>
      <protection/>
    </xf>
    <xf numFmtId="166" fontId="2" fillId="0" borderId="10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 horizontal="center"/>
      <protection/>
    </xf>
    <xf numFmtId="168" fontId="2" fillId="7" borderId="3" xfId="0" applyNumberFormat="1" applyFont="1" applyFill="1" applyBorder="1" applyAlignment="1" applyProtection="1">
      <alignment horizontal="center"/>
      <protection/>
    </xf>
    <xf numFmtId="164" fontId="2" fillId="4" borderId="3" xfId="0" applyFont="1" applyFill="1" applyBorder="1" applyAlignment="1" applyProtection="1">
      <alignment/>
      <protection/>
    </xf>
    <xf numFmtId="164" fontId="2" fillId="0" borderId="4" xfId="0" applyNumberFormat="1" applyFont="1" applyFill="1" applyBorder="1" applyAlignment="1" applyProtection="1">
      <alignment/>
      <protection/>
    </xf>
    <xf numFmtId="170" fontId="2" fillId="0" borderId="0" xfId="0" applyNumberFormat="1" applyFont="1" applyFill="1" applyBorder="1" applyAlignment="1" applyProtection="1">
      <alignment/>
      <protection/>
    </xf>
    <xf numFmtId="164" fontId="2" fillId="0" borderId="3" xfId="0" applyFont="1" applyFill="1" applyBorder="1" applyAlignment="1" applyProtection="1">
      <alignment/>
      <protection locked="0"/>
    </xf>
    <xf numFmtId="164" fontId="2" fillId="0" borderId="5" xfId="0" applyFont="1" applyFill="1" applyBorder="1" applyAlignment="1" applyProtection="1">
      <alignment/>
      <protection locked="0"/>
    </xf>
    <xf numFmtId="171" fontId="2" fillId="0" borderId="0" xfId="0" applyNumberFormat="1" applyFont="1" applyFill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/>
      <protection/>
    </xf>
    <xf numFmtId="164" fontId="2" fillId="4" borderId="5" xfId="0" applyFont="1" applyFill="1" applyBorder="1" applyAlignment="1" applyProtection="1">
      <alignment/>
      <protection/>
    </xf>
    <xf numFmtId="164" fontId="2" fillId="0" borderId="1" xfId="0" applyNumberFormat="1" applyFont="1" applyFill="1" applyBorder="1" applyAlignment="1" applyProtection="1">
      <alignment/>
      <protection/>
    </xf>
  </cellXfs>
  <cellStyles count="6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numeric-28" xfId="20"/>
    <cellStyle name="Gnumeric-55" xfId="21"/>
    <cellStyle name="Gnumeric-23" xfId="22"/>
    <cellStyle name="Gnumeric-38" xfId="23"/>
    <cellStyle name="Gnumeric-33" xfId="24"/>
    <cellStyle name="Gnumeric-49" xfId="25"/>
    <cellStyle name="Gnumeric-25" xfId="26"/>
    <cellStyle name="Gnumeric-51" xfId="27"/>
    <cellStyle name="Gnumeric-17" xfId="28"/>
    <cellStyle name="Gnumeric-31" xfId="29"/>
    <cellStyle name="Gnumeric-56" xfId="30"/>
    <cellStyle name="Gnumeric-1" xfId="31"/>
    <cellStyle name="Gnumeric-39" xfId="32"/>
    <cellStyle name="Gnumeric-4" xfId="33"/>
    <cellStyle name="Gnumeric-2" xfId="34"/>
    <cellStyle name="Gnumeric-15" xfId="35"/>
    <cellStyle name="Gnumeric-24" xfId="36"/>
    <cellStyle name="Gnumeric-43" xfId="37"/>
    <cellStyle name="Gnumeric-13" xfId="38"/>
    <cellStyle name="Gnumeric-32" xfId="39"/>
    <cellStyle name="Gnumeric-29" xfId="40"/>
    <cellStyle name="Gnumeric-42" xfId="41"/>
    <cellStyle name="Gnumeric-52" xfId="42"/>
    <cellStyle name="Gnumeric-9" xfId="43"/>
    <cellStyle name="Gnumeric-40" xfId="44"/>
    <cellStyle name="Gnumeric-48" xfId="45"/>
    <cellStyle name="Gnumeric-34" xfId="46"/>
    <cellStyle name="Gnumeric-41" xfId="47"/>
    <cellStyle name="Gnumeric-14" xfId="48"/>
    <cellStyle name="Gnumeric-26" xfId="49"/>
    <cellStyle name="Gnumeric-30" xfId="50"/>
    <cellStyle name="Gnumeric-6" xfId="51"/>
    <cellStyle name="Gnumeric-50" xfId="52"/>
    <cellStyle name="Gnumeric-22" xfId="53"/>
    <cellStyle name="Gnumeric-8" xfId="54"/>
    <cellStyle name="Gnumeric-27" xfId="55"/>
    <cellStyle name="Gnumeric-59" xfId="56"/>
    <cellStyle name="Gnumeric-12" xfId="57"/>
    <cellStyle name="Gnumeric-11" xfId="58"/>
    <cellStyle name="Gnumeric-47" xfId="59"/>
    <cellStyle name="Gnumeric-57" xfId="60"/>
    <cellStyle name="Gnumeric-58" xfId="61"/>
    <cellStyle name="Gnumeric-7" xfId="62"/>
    <cellStyle name="Gnumeric-37" xfId="63"/>
    <cellStyle name="Gnumeric-45" xfId="64"/>
    <cellStyle name="Gnumeric-19" xfId="65"/>
    <cellStyle name="Gnumeric-53" xfId="66"/>
    <cellStyle name="Gnumeric-16" xfId="67"/>
    <cellStyle name="Gnumeric-10" xfId="68"/>
    <cellStyle name="Gnumeric-21" xfId="69"/>
    <cellStyle name="Gnumeric-35" xfId="70"/>
    <cellStyle name="Gnumeric-20" xfId="71"/>
    <cellStyle name="Gnumeric-44" xfId="72"/>
    <cellStyle name="Gnumeric-5" xfId="73"/>
    <cellStyle name="Gnumeric-46" xfId="74"/>
    <cellStyle name="Gnumeric-54" xfId="75"/>
    <cellStyle name="Gnumeric-18" xfId="76"/>
    <cellStyle name="Gnumeric-36" xfId="77"/>
    <cellStyle name="Gnumeric-default" xfId="78"/>
    <cellStyle name="Gnumeric-3" xfId="79"/>
    <cellStyle name="Gnumeric-60" xfId="80"/>
  </cellStyles>
  <dxfs count="11">
    <dxf>
      <font>
        <b val="0"/>
        <strike val="0"/>
      </font>
      <fill>
        <patternFill patternType="none">
          <fgColor indexed="64"/>
          <bgColor indexed="65"/>
        </patternFill>
      </fill>
      <border/>
    </dxf>
    <dxf>
      <font>
        <b val="0"/>
        <strike val="0"/>
      </font>
      <fill>
        <patternFill patternType="solid">
          <fgColor rgb="FF993300"/>
          <bgColor rgb="FFFF00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CCFFFF"/>
          <bgColor rgb="FFCCFFCC"/>
        </patternFill>
      </fill>
      <border/>
    </dxf>
    <dxf>
      <font>
        <b val="0"/>
        <strike val="0"/>
      </font>
      <fill>
        <patternFill patternType="solid">
          <fgColor rgb="FFFFFF00"/>
          <bgColor rgb="FFFFFF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none">
          <fgColor indexed="64"/>
          <bgColor indexed="65"/>
        </patternFill>
      </fill>
      <border/>
    </dxf>
    <dxf>
      <font>
        <b val="0"/>
        <i val="0"/>
        <u val="none"/>
        <strike val="0"/>
        <sz val="10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trike val="0"/>
      </font>
      <fill>
        <patternFill patternType="solid">
          <fgColor rgb="FFCCFFFF"/>
          <bgColor rgb="FFCCFFCC"/>
        </patternFill>
      </fill>
      <border/>
    </dxf>
    <dxf>
      <font>
        <b val="0"/>
        <strike val="0"/>
      </font>
      <fill>
        <patternFill patternType="solid">
          <fgColor rgb="FF33CCCC"/>
          <bgColor rgb="FF00FF00"/>
        </patternFill>
      </fill>
      <border/>
    </dxf>
    <dxf>
      <font>
        <b val="0"/>
        <strike val="0"/>
      </font>
      <fill>
        <patternFill patternType="solid">
          <fgColor rgb="FFFFFF00"/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workbookViewId="0" topLeftCell="A1">
      <selection activeCell="A8" sqref="A8"/>
    </sheetView>
  </sheetViews>
  <sheetFormatPr defaultColWidth="7.00390625" defaultRowHeight="12.75"/>
  <cols>
    <col min="1" max="1" width="18.25390625" style="0" customWidth="1"/>
    <col min="2" max="2" width="7.50390625" style="0" customWidth="1"/>
    <col min="3" max="3" width="7.25390625" style="0" customWidth="1"/>
    <col min="4" max="4" width="8.25390625" style="0" customWidth="1"/>
    <col min="5" max="5" width="7.50390625" style="0" customWidth="1"/>
    <col min="6" max="9" width="5.25390625" style="0" customWidth="1"/>
    <col min="10" max="10" width="6.125" style="0" customWidth="1"/>
    <col min="11" max="11" width="6.75390625" style="0" customWidth="1"/>
    <col min="12" max="12" width="4.375" style="0" customWidth="1"/>
    <col min="13" max="13" width="7.25390625" style="0" customWidth="1"/>
    <col min="14" max="14" width="6.875" style="0" customWidth="1"/>
    <col min="15" max="16" width="7.50390625" style="0" customWidth="1"/>
    <col min="17" max="17" width="10.50390625" style="0" customWidth="1"/>
    <col min="18" max="18" width="9.125" style="0" customWidth="1"/>
    <col min="19" max="19" width="6.875" style="0" customWidth="1"/>
    <col min="20" max="20" width="9.625" style="0" customWidth="1"/>
    <col min="21" max="21" width="7.50390625" style="0" customWidth="1"/>
    <col min="22" max="22" width="9.625" style="0" customWidth="1"/>
    <col min="23" max="23" width="9.875" style="0" customWidth="1"/>
    <col min="24" max="24" width="4.50390625" style="0" customWidth="1"/>
    <col min="25" max="25" width="7.25390625" style="0" customWidth="1"/>
    <col min="26" max="26" width="9.625" style="0" customWidth="1"/>
    <col min="27" max="16384" width="7.50390625" style="0" customWidth="1"/>
  </cols>
  <sheetData>
    <row r="1" spans="3:15" s="1" customFormat="1" ht="12.75">
      <c r="C1" s="2" t="s">
        <v>0</v>
      </c>
      <c r="D1" s="2"/>
      <c r="E1" s="3" t="s">
        <v>1</v>
      </c>
      <c r="F1" s="4" t="s">
        <v>2</v>
      </c>
      <c r="G1" s="4" t="s">
        <v>3</v>
      </c>
      <c r="H1" s="4" t="s">
        <v>4</v>
      </c>
      <c r="I1" s="5" t="s">
        <v>5</v>
      </c>
      <c r="J1" s="6"/>
      <c r="K1" s="4" t="s">
        <v>6</v>
      </c>
      <c r="L1" s="4"/>
      <c r="N1" s="4" t="s">
        <v>7</v>
      </c>
      <c r="O1" s="4"/>
    </row>
    <row r="2" spans="3:15" s="1" customFormat="1" ht="12.75">
      <c r="C2" s="7" t="s">
        <v>8</v>
      </c>
      <c r="D2" s="7"/>
      <c r="E2" s="8" t="s">
        <v>9</v>
      </c>
      <c r="F2" s="9" t="s">
        <v>9</v>
      </c>
      <c r="G2" s="9" t="s">
        <v>9</v>
      </c>
      <c r="H2" s="9" t="s">
        <v>9</v>
      </c>
      <c r="I2" s="10" t="s">
        <v>9</v>
      </c>
      <c r="J2" s="6"/>
      <c r="K2" s="11" t="s">
        <v>9</v>
      </c>
      <c r="L2" s="11"/>
      <c r="N2" s="11" t="s">
        <v>9</v>
      </c>
      <c r="O2" s="11"/>
    </row>
    <row r="3" spans="3:15" s="1" customFormat="1" ht="12.75">
      <c r="C3" s="7" t="s">
        <v>10</v>
      </c>
      <c r="D3" s="7"/>
      <c r="E3" s="12" t="s">
        <v>9</v>
      </c>
      <c r="F3" s="11" t="s">
        <v>9</v>
      </c>
      <c r="G3" s="11" t="s">
        <v>9</v>
      </c>
      <c r="H3" s="11" t="s">
        <v>9</v>
      </c>
      <c r="I3" s="13" t="s">
        <v>9</v>
      </c>
      <c r="J3" s="6"/>
      <c r="K3" s="6"/>
      <c r="L3" s="6"/>
      <c r="M3" s="6"/>
      <c r="N3" s="6"/>
      <c r="O3" s="6"/>
    </row>
    <row r="5" spans="1:26" s="1" customFormat="1" ht="12.75">
      <c r="A5" s="6"/>
      <c r="B5" s="6"/>
      <c r="C5" s="6"/>
      <c r="F5" s="14" t="s">
        <v>11</v>
      </c>
      <c r="G5" s="14"/>
      <c r="H5" s="14"/>
      <c r="I5" s="14"/>
      <c r="J5" s="14" t="s">
        <v>12</v>
      </c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s="1" customFormat="1" ht="34.5">
      <c r="A6" s="14" t="s">
        <v>13</v>
      </c>
      <c r="B6" s="14" t="s">
        <v>14</v>
      </c>
      <c r="C6" s="14" t="s">
        <v>15</v>
      </c>
      <c r="D6" s="14" t="s">
        <v>16</v>
      </c>
      <c r="E6" s="14" t="s">
        <v>17</v>
      </c>
      <c r="F6" s="15" t="s">
        <v>1</v>
      </c>
      <c r="G6" s="15" t="s">
        <v>2</v>
      </c>
      <c r="H6" s="15" t="s">
        <v>3</v>
      </c>
      <c r="I6" s="15" t="s">
        <v>4</v>
      </c>
      <c r="J6" s="15" t="s">
        <v>18</v>
      </c>
      <c r="K6" s="15" t="s">
        <v>19</v>
      </c>
      <c r="L6" s="15" t="s">
        <v>20</v>
      </c>
      <c r="M6" s="15" t="s">
        <v>21</v>
      </c>
      <c r="N6" s="15" t="s">
        <v>22</v>
      </c>
      <c r="O6" s="15" t="s">
        <v>23</v>
      </c>
      <c r="P6" s="15" t="s">
        <v>24</v>
      </c>
      <c r="Q6" s="16" t="s">
        <v>25</v>
      </c>
      <c r="R6" s="16" t="s">
        <v>26</v>
      </c>
      <c r="S6" s="16" t="s">
        <v>27</v>
      </c>
      <c r="T6" s="16" t="s">
        <v>28</v>
      </c>
      <c r="U6" s="16" t="s">
        <v>29</v>
      </c>
      <c r="V6" s="16" t="s">
        <v>30</v>
      </c>
      <c r="W6" s="16" t="s">
        <v>31</v>
      </c>
      <c r="X6" s="16" t="s">
        <v>32</v>
      </c>
      <c r="Y6" s="16" t="s">
        <v>33</v>
      </c>
      <c r="Z6" s="17" t="s">
        <v>34</v>
      </c>
    </row>
    <row r="7" spans="1:26" s="1" customFormat="1" ht="12.75">
      <c r="A7" s="18" t="s">
        <v>35</v>
      </c>
      <c r="B7" s="19">
        <f>1000</f>
        <v>1000</v>
      </c>
      <c r="C7" s="20" t="s">
        <v>36</v>
      </c>
      <c r="D7" s="19" t="s">
        <v>9</v>
      </c>
      <c r="E7" s="19" t="s">
        <v>9</v>
      </c>
      <c r="F7" s="18">
        <v>5</v>
      </c>
      <c r="G7" s="18">
        <v>5</v>
      </c>
      <c r="H7" s="18">
        <v>5</v>
      </c>
      <c r="I7" s="18">
        <v>3</v>
      </c>
      <c r="J7" s="19">
        <v>0</v>
      </c>
      <c r="K7" s="19">
        <v>0</v>
      </c>
      <c r="L7" s="19">
        <v>0</v>
      </c>
      <c r="M7" s="18">
        <v>0</v>
      </c>
      <c r="N7" s="18">
        <v>0</v>
      </c>
      <c r="O7" s="18">
        <v>0</v>
      </c>
      <c r="P7" s="19">
        <v>0</v>
      </c>
      <c r="Q7" s="21">
        <v>0</v>
      </c>
      <c r="R7" s="21">
        <v>0</v>
      </c>
      <c r="S7" s="9">
        <v>0</v>
      </c>
      <c r="T7" s="9">
        <v>0</v>
      </c>
      <c r="U7" s="9">
        <v>0</v>
      </c>
      <c r="V7" s="9">
        <v>0</v>
      </c>
      <c r="W7" s="21">
        <v>0</v>
      </c>
      <c r="X7" s="21">
        <v>0</v>
      </c>
      <c r="Y7" s="21">
        <v>0</v>
      </c>
      <c r="Z7" s="22">
        <v>0</v>
      </c>
    </row>
    <row r="8" spans="1:26" s="1" customFormat="1" ht="12">
      <c r="A8" s="9"/>
      <c r="B8" s="21"/>
      <c r="C8" s="23"/>
      <c r="D8" s="21"/>
      <c r="E8" s="21"/>
      <c r="F8" s="9"/>
      <c r="G8" s="9"/>
      <c r="H8" s="9"/>
      <c r="I8" s="9"/>
      <c r="J8" s="21"/>
      <c r="K8" s="21"/>
      <c r="L8" s="21"/>
      <c r="M8" s="9"/>
      <c r="N8" s="9"/>
      <c r="O8" s="9"/>
      <c r="P8" s="21"/>
      <c r="Q8" s="21"/>
      <c r="R8" s="21"/>
      <c r="S8" s="9"/>
      <c r="T8" s="9"/>
      <c r="U8" s="9"/>
      <c r="V8" s="9"/>
      <c r="W8" s="21"/>
      <c r="X8" s="21"/>
      <c r="Y8" s="21"/>
      <c r="Z8" s="22"/>
    </row>
    <row r="9" spans="1:26" s="1" customFormat="1" ht="12">
      <c r="A9" s="9"/>
      <c r="B9" s="21"/>
      <c r="C9" s="23"/>
      <c r="D9" s="21"/>
      <c r="E9" s="21"/>
      <c r="F9" s="9"/>
      <c r="G9" s="9"/>
      <c r="H9" s="9"/>
      <c r="I9" s="9"/>
      <c r="J9" s="21"/>
      <c r="K9" s="21"/>
      <c r="L9" s="21"/>
      <c r="M9" s="9"/>
      <c r="N9" s="9"/>
      <c r="O9" s="9"/>
      <c r="P9" s="21"/>
      <c r="Q9" s="21"/>
      <c r="R9" s="21"/>
      <c r="S9" s="9"/>
      <c r="T9" s="9"/>
      <c r="U9" s="9"/>
      <c r="V9" s="9"/>
      <c r="W9" s="21"/>
      <c r="X9" s="21"/>
      <c r="Y9" s="21"/>
      <c r="Z9" s="22"/>
    </row>
    <row r="10" spans="1:26" s="1" customFormat="1" ht="12">
      <c r="A10" s="9"/>
      <c r="B10" s="21"/>
      <c r="C10" s="23"/>
      <c r="D10" s="21"/>
      <c r="E10" s="21"/>
      <c r="F10" s="9"/>
      <c r="G10" s="9"/>
      <c r="H10" s="9"/>
      <c r="I10" s="9"/>
      <c r="J10" s="21"/>
      <c r="K10" s="21"/>
      <c r="L10" s="21"/>
      <c r="M10" s="9"/>
      <c r="N10" s="9"/>
      <c r="O10" s="9"/>
      <c r="P10" s="21"/>
      <c r="Q10" s="21"/>
      <c r="R10" s="21"/>
      <c r="S10" s="9"/>
      <c r="T10" s="9"/>
      <c r="U10" s="9"/>
      <c r="V10" s="9"/>
      <c r="W10" s="21"/>
      <c r="X10" s="21"/>
      <c r="Y10" s="21"/>
      <c r="Z10" s="22"/>
    </row>
    <row r="11" spans="1:26" s="1" customFormat="1" ht="12">
      <c r="A11" s="9"/>
      <c r="B11" s="21"/>
      <c r="C11" s="23"/>
      <c r="D11" s="21"/>
      <c r="E11" s="21"/>
      <c r="F11" s="9"/>
      <c r="G11" s="9"/>
      <c r="H11" s="9"/>
      <c r="I11" s="9"/>
      <c r="J11" s="21"/>
      <c r="K11" s="21"/>
      <c r="L11" s="21"/>
      <c r="M11" s="9"/>
      <c r="N11" s="9"/>
      <c r="O11" s="9"/>
      <c r="P11" s="21"/>
      <c r="Q11" s="21"/>
      <c r="R11" s="21"/>
      <c r="S11" s="9"/>
      <c r="T11" s="9"/>
      <c r="U11" s="9"/>
      <c r="V11" s="9"/>
      <c r="W11" s="21"/>
      <c r="X11" s="21"/>
      <c r="Y11" s="21"/>
      <c r="Z11" s="22"/>
    </row>
    <row r="12" spans="1:26" s="1" customFormat="1" ht="12">
      <c r="A12" s="9"/>
      <c r="B12" s="21"/>
      <c r="C12" s="23"/>
      <c r="D12" s="21"/>
      <c r="E12" s="21"/>
      <c r="F12" s="9"/>
      <c r="G12" s="9"/>
      <c r="H12" s="9"/>
      <c r="I12" s="9"/>
      <c r="J12" s="21"/>
      <c r="K12" s="21"/>
      <c r="L12" s="21"/>
      <c r="M12" s="9"/>
      <c r="N12" s="9"/>
      <c r="O12" s="9"/>
      <c r="P12" s="21"/>
      <c r="Q12" s="21"/>
      <c r="R12" s="21"/>
      <c r="S12" s="9"/>
      <c r="T12" s="9"/>
      <c r="U12" s="9"/>
      <c r="V12" s="9"/>
      <c r="W12" s="21"/>
      <c r="X12" s="21"/>
      <c r="Y12" s="21"/>
      <c r="Z12" s="22"/>
    </row>
    <row r="13" spans="1:26" s="1" customFormat="1" ht="12">
      <c r="A13" s="9"/>
      <c r="B13" s="21"/>
      <c r="C13" s="23"/>
      <c r="D13" s="21"/>
      <c r="E13" s="21"/>
      <c r="F13" s="9"/>
      <c r="G13" s="9"/>
      <c r="H13" s="9"/>
      <c r="I13" s="9"/>
      <c r="J13" s="21"/>
      <c r="K13" s="21"/>
      <c r="L13" s="21"/>
      <c r="M13" s="9"/>
      <c r="N13" s="9"/>
      <c r="O13" s="9"/>
      <c r="P13" s="21"/>
      <c r="Q13" s="21"/>
      <c r="R13" s="21"/>
      <c r="S13" s="9"/>
      <c r="T13" s="9"/>
      <c r="U13" s="9"/>
      <c r="V13" s="9"/>
      <c r="W13" s="21"/>
      <c r="X13" s="21"/>
      <c r="Y13" s="21"/>
      <c r="Z13" s="22"/>
    </row>
    <row r="14" spans="1:26" s="1" customFormat="1" ht="12">
      <c r="A14" s="9"/>
      <c r="B14" s="21"/>
      <c r="C14" s="23"/>
      <c r="D14" s="21"/>
      <c r="E14" s="21"/>
      <c r="F14" s="9"/>
      <c r="G14" s="9"/>
      <c r="H14" s="9"/>
      <c r="I14" s="9"/>
      <c r="J14" s="21"/>
      <c r="K14" s="21"/>
      <c r="L14" s="21"/>
      <c r="M14" s="9"/>
      <c r="N14" s="9"/>
      <c r="O14" s="9"/>
      <c r="P14" s="21"/>
      <c r="Q14" s="21"/>
      <c r="R14" s="21"/>
      <c r="S14" s="9"/>
      <c r="T14" s="9"/>
      <c r="U14" s="9"/>
      <c r="V14" s="9"/>
      <c r="W14" s="21"/>
      <c r="X14" s="21"/>
      <c r="Y14" s="21"/>
      <c r="Z14" s="22"/>
    </row>
    <row r="15" spans="1:26" s="1" customFormat="1" ht="12">
      <c r="A15" s="9"/>
      <c r="B15" s="21"/>
      <c r="C15" s="23"/>
      <c r="D15" s="21"/>
      <c r="E15" s="21"/>
      <c r="F15" s="9"/>
      <c r="G15" s="9"/>
      <c r="H15" s="9"/>
      <c r="I15" s="9"/>
      <c r="J15" s="21"/>
      <c r="K15" s="21"/>
      <c r="L15" s="21"/>
      <c r="M15" s="9"/>
      <c r="N15" s="9"/>
      <c r="O15" s="9"/>
      <c r="P15" s="21"/>
      <c r="Q15" s="21"/>
      <c r="R15" s="21"/>
      <c r="S15" s="9"/>
      <c r="T15" s="9"/>
      <c r="U15" s="9"/>
      <c r="V15" s="9"/>
      <c r="W15" s="21"/>
      <c r="X15" s="21"/>
      <c r="Y15" s="21"/>
      <c r="Z15" s="22"/>
    </row>
    <row r="16" spans="1:26" s="1" customFormat="1" ht="12">
      <c r="A16" s="9"/>
      <c r="B16" s="21"/>
      <c r="C16" s="23"/>
      <c r="D16" s="21"/>
      <c r="E16" s="21"/>
      <c r="F16" s="9"/>
      <c r="G16" s="9"/>
      <c r="H16" s="9"/>
      <c r="I16" s="9"/>
      <c r="J16" s="21"/>
      <c r="K16" s="21"/>
      <c r="L16" s="21"/>
      <c r="M16" s="9"/>
      <c r="N16" s="9"/>
      <c r="O16" s="9"/>
      <c r="P16" s="21"/>
      <c r="Q16" s="21"/>
      <c r="R16" s="21"/>
      <c r="S16" s="9"/>
      <c r="T16" s="9"/>
      <c r="U16" s="9"/>
      <c r="V16" s="9"/>
      <c r="W16" s="21"/>
      <c r="X16" s="21"/>
      <c r="Y16" s="21"/>
      <c r="Z16" s="22"/>
    </row>
    <row r="17" spans="1:26" s="1" customFormat="1" ht="12">
      <c r="A17" s="9"/>
      <c r="B17" s="21"/>
      <c r="C17" s="23"/>
      <c r="D17" s="21"/>
      <c r="E17" s="21"/>
      <c r="F17" s="9"/>
      <c r="G17" s="9"/>
      <c r="H17" s="9"/>
      <c r="I17" s="9"/>
      <c r="J17" s="21"/>
      <c r="K17" s="21"/>
      <c r="L17" s="21"/>
      <c r="M17" s="9"/>
      <c r="N17" s="9"/>
      <c r="O17" s="9"/>
      <c r="P17" s="21"/>
      <c r="Q17" s="21"/>
      <c r="R17" s="21"/>
      <c r="S17" s="9"/>
      <c r="T17" s="9"/>
      <c r="U17" s="9"/>
      <c r="V17" s="9"/>
      <c r="W17" s="21"/>
      <c r="X17" s="21"/>
      <c r="Y17" s="21"/>
      <c r="Z17" s="22"/>
    </row>
    <row r="18" spans="1:26" s="1" customFormat="1" ht="12">
      <c r="A18" s="9"/>
      <c r="B18" s="21"/>
      <c r="C18" s="23"/>
      <c r="D18" s="21"/>
      <c r="E18" s="21"/>
      <c r="F18" s="9"/>
      <c r="G18" s="9"/>
      <c r="H18" s="9"/>
      <c r="I18" s="9"/>
      <c r="J18" s="21"/>
      <c r="K18" s="21"/>
      <c r="L18" s="21"/>
      <c r="M18" s="9"/>
      <c r="N18" s="9"/>
      <c r="O18" s="9"/>
      <c r="P18" s="21"/>
      <c r="Q18" s="21"/>
      <c r="R18" s="21"/>
      <c r="S18" s="9"/>
      <c r="T18" s="9"/>
      <c r="U18" s="9"/>
      <c r="V18" s="9"/>
      <c r="W18" s="21"/>
      <c r="X18" s="21"/>
      <c r="Y18" s="21"/>
      <c r="Z18" s="22"/>
    </row>
    <row r="19" spans="1:26" s="1" customFormat="1" ht="12">
      <c r="A19" s="9"/>
      <c r="B19" s="21"/>
      <c r="C19" s="23"/>
      <c r="D19" s="21"/>
      <c r="E19" s="21"/>
      <c r="F19" s="9"/>
      <c r="G19" s="9"/>
      <c r="H19" s="9"/>
      <c r="I19" s="9"/>
      <c r="J19" s="21"/>
      <c r="K19" s="21"/>
      <c r="L19" s="21"/>
      <c r="M19" s="9"/>
      <c r="N19" s="9"/>
      <c r="O19" s="9"/>
      <c r="P19" s="21"/>
      <c r="Q19" s="21"/>
      <c r="R19" s="21"/>
      <c r="S19" s="9"/>
      <c r="T19" s="9"/>
      <c r="U19" s="9"/>
      <c r="V19" s="9"/>
      <c r="W19" s="21"/>
      <c r="X19" s="21"/>
      <c r="Y19" s="21"/>
      <c r="Z19" s="22"/>
    </row>
    <row r="20" spans="1:26" s="1" customFormat="1" ht="12">
      <c r="A20" s="9"/>
      <c r="B20" s="21"/>
      <c r="C20" s="23"/>
      <c r="D20" s="21"/>
      <c r="E20" s="21"/>
      <c r="F20" s="9"/>
      <c r="G20" s="9"/>
      <c r="H20" s="9"/>
      <c r="I20" s="9"/>
      <c r="J20" s="21"/>
      <c r="K20" s="21"/>
      <c r="L20" s="21"/>
      <c r="M20" s="9"/>
      <c r="N20" s="9"/>
      <c r="O20" s="9"/>
      <c r="P20" s="21"/>
      <c r="Q20" s="21"/>
      <c r="R20" s="21"/>
      <c r="S20" s="9"/>
      <c r="T20" s="9"/>
      <c r="U20" s="9"/>
      <c r="V20" s="9"/>
      <c r="W20" s="21"/>
      <c r="X20" s="21"/>
      <c r="Y20" s="21"/>
      <c r="Z20" s="22"/>
    </row>
    <row r="21" spans="1:26" s="1" customFormat="1" ht="12">
      <c r="A21" s="9"/>
      <c r="B21" s="21"/>
      <c r="C21" s="23"/>
      <c r="D21" s="21"/>
      <c r="E21" s="21"/>
      <c r="F21" s="9"/>
      <c r="G21" s="9"/>
      <c r="H21" s="9"/>
      <c r="I21" s="9"/>
      <c r="J21" s="21"/>
      <c r="K21" s="21"/>
      <c r="L21" s="21"/>
      <c r="M21" s="9"/>
      <c r="N21" s="9"/>
      <c r="O21" s="9"/>
      <c r="P21" s="21"/>
      <c r="Q21" s="21"/>
      <c r="R21" s="21"/>
      <c r="S21" s="9"/>
      <c r="T21" s="9"/>
      <c r="U21" s="9"/>
      <c r="V21" s="9"/>
      <c r="W21" s="21"/>
      <c r="X21" s="21"/>
      <c r="Y21" s="21"/>
      <c r="Z21" s="22"/>
    </row>
    <row r="22" spans="1:26" s="1" customFormat="1" ht="12">
      <c r="A22" s="9"/>
      <c r="B22" s="21"/>
      <c r="C22" s="23"/>
      <c r="D22" s="21"/>
      <c r="E22" s="21"/>
      <c r="F22" s="9"/>
      <c r="G22" s="9"/>
      <c r="H22" s="9"/>
      <c r="I22" s="9"/>
      <c r="J22" s="21"/>
      <c r="K22" s="21"/>
      <c r="L22" s="21"/>
      <c r="M22" s="9"/>
      <c r="N22" s="9"/>
      <c r="O22" s="9"/>
      <c r="P22" s="21"/>
      <c r="Q22" s="21"/>
      <c r="R22" s="21"/>
      <c r="S22" s="9"/>
      <c r="T22" s="9"/>
      <c r="U22" s="9"/>
      <c r="V22" s="9"/>
      <c r="W22" s="21"/>
      <c r="X22" s="21"/>
      <c r="Y22" s="21"/>
      <c r="Z22" s="22"/>
    </row>
    <row r="23" spans="1:26" s="1" customFormat="1" ht="12">
      <c r="A23" s="9"/>
      <c r="B23" s="21"/>
      <c r="C23" s="23"/>
      <c r="D23" s="21"/>
      <c r="E23" s="21"/>
      <c r="F23" s="9"/>
      <c r="G23" s="9"/>
      <c r="H23" s="9"/>
      <c r="I23" s="9"/>
      <c r="J23" s="21"/>
      <c r="K23" s="21"/>
      <c r="L23" s="21"/>
      <c r="M23" s="9"/>
      <c r="N23" s="9"/>
      <c r="O23" s="9"/>
      <c r="P23" s="21"/>
      <c r="Q23" s="21"/>
      <c r="R23" s="21"/>
      <c r="S23" s="9"/>
      <c r="T23" s="9"/>
      <c r="U23" s="9"/>
      <c r="V23" s="9"/>
      <c r="W23" s="21"/>
      <c r="X23" s="21"/>
      <c r="Y23" s="21"/>
      <c r="Z23" s="22"/>
    </row>
    <row r="24" spans="1:26" s="1" customFormat="1" ht="12">
      <c r="A24" s="9"/>
      <c r="B24" s="21"/>
      <c r="C24" s="23"/>
      <c r="D24" s="21"/>
      <c r="E24" s="21"/>
      <c r="F24" s="9"/>
      <c r="G24" s="9"/>
      <c r="H24" s="9"/>
      <c r="I24" s="9"/>
      <c r="J24" s="21"/>
      <c r="K24" s="21"/>
      <c r="L24" s="21"/>
      <c r="M24" s="9"/>
      <c r="N24" s="9"/>
      <c r="O24" s="9"/>
      <c r="P24" s="21"/>
      <c r="Q24" s="21"/>
      <c r="R24" s="21"/>
      <c r="S24" s="9"/>
      <c r="T24" s="9"/>
      <c r="U24" s="10"/>
      <c r="V24" s="8"/>
      <c r="W24" s="21"/>
      <c r="X24" s="21"/>
      <c r="Y24" s="21"/>
      <c r="Z24" s="22"/>
    </row>
    <row r="25" spans="1:26" s="1" customFormat="1" ht="12.75">
      <c r="A25" s="24"/>
      <c r="B25" s="23"/>
      <c r="C25" s="23"/>
      <c r="D25" s="21"/>
      <c r="E25" s="21"/>
      <c r="F25" s="24"/>
      <c r="G25" s="24"/>
      <c r="H25" s="24"/>
      <c r="I25" s="24"/>
      <c r="J25" s="23"/>
      <c r="K25" s="23"/>
      <c r="L25" s="23"/>
      <c r="M25" s="24"/>
      <c r="N25" s="24"/>
      <c r="O25" s="24"/>
      <c r="P25" s="23"/>
      <c r="Q25" s="23"/>
      <c r="R25" s="23"/>
      <c r="S25" s="24"/>
      <c r="T25" s="24"/>
      <c r="U25" s="24"/>
      <c r="V25" s="24"/>
      <c r="W25" s="23"/>
      <c r="X25" s="23"/>
      <c r="Y25" s="23"/>
      <c r="Z25" s="22"/>
    </row>
    <row r="26" spans="1:26" s="1" customFormat="1" ht="12.75">
      <c r="A26" s="24"/>
      <c r="B26" s="23"/>
      <c r="C26" s="23"/>
      <c r="D26" s="21"/>
      <c r="E26" s="21"/>
      <c r="F26" s="24"/>
      <c r="G26" s="24"/>
      <c r="H26" s="24"/>
      <c r="I26" s="24"/>
      <c r="J26" s="23"/>
      <c r="K26" s="23"/>
      <c r="L26" s="23"/>
      <c r="M26" s="24"/>
      <c r="N26" s="24"/>
      <c r="O26" s="24"/>
      <c r="P26" s="23"/>
      <c r="Q26" s="23"/>
      <c r="R26" s="23"/>
      <c r="S26" s="24"/>
      <c r="T26" s="24"/>
      <c r="U26" s="24"/>
      <c r="V26" s="24"/>
      <c r="W26" s="23"/>
      <c r="X26" s="23"/>
      <c r="Y26" s="23"/>
      <c r="Z26" s="22"/>
    </row>
    <row r="27" spans="1:26" s="1" customFormat="1" ht="12.75">
      <c r="A27" s="24"/>
      <c r="B27" s="23"/>
      <c r="C27" s="23"/>
      <c r="D27" s="21"/>
      <c r="E27" s="21"/>
      <c r="F27" s="24"/>
      <c r="G27" s="24"/>
      <c r="H27" s="24"/>
      <c r="I27" s="24"/>
      <c r="J27" s="23"/>
      <c r="K27" s="23"/>
      <c r="L27" s="23"/>
      <c r="M27" s="24"/>
      <c r="N27" s="24"/>
      <c r="O27" s="24"/>
      <c r="P27" s="23"/>
      <c r="Q27" s="23"/>
      <c r="R27" s="23"/>
      <c r="S27" s="24"/>
      <c r="T27" s="24"/>
      <c r="U27" s="24"/>
      <c r="V27" s="24"/>
      <c r="W27" s="23"/>
      <c r="X27" s="23"/>
      <c r="Y27" s="23"/>
      <c r="Z27" s="22"/>
    </row>
    <row r="28" spans="1:26" s="1" customFormat="1" ht="12.75">
      <c r="A28" s="24"/>
      <c r="B28" s="23"/>
      <c r="C28" s="23"/>
      <c r="D28" s="21"/>
      <c r="E28" s="21"/>
      <c r="F28" s="24"/>
      <c r="G28" s="24"/>
      <c r="H28" s="24"/>
      <c r="I28" s="24"/>
      <c r="J28" s="23"/>
      <c r="K28" s="23"/>
      <c r="L28" s="23"/>
      <c r="M28" s="24"/>
      <c r="N28" s="24"/>
      <c r="O28" s="24"/>
      <c r="P28" s="23"/>
      <c r="Q28" s="23"/>
      <c r="R28" s="23"/>
      <c r="S28" s="24"/>
      <c r="T28" s="24"/>
      <c r="U28" s="24"/>
      <c r="V28" s="24"/>
      <c r="W28" s="23"/>
      <c r="X28" s="23"/>
      <c r="Y28" s="23"/>
      <c r="Z28" s="22"/>
    </row>
    <row r="29" spans="1:26" s="1" customFormat="1" ht="12.75">
      <c r="A29" s="24"/>
      <c r="B29" s="23"/>
      <c r="C29" s="23"/>
      <c r="D29" s="21"/>
      <c r="E29" s="21"/>
      <c r="F29" s="24"/>
      <c r="G29" s="24"/>
      <c r="H29" s="24"/>
      <c r="I29" s="24"/>
      <c r="J29" s="23"/>
      <c r="K29" s="23"/>
      <c r="L29" s="23"/>
      <c r="M29" s="24"/>
      <c r="N29" s="24"/>
      <c r="O29" s="24"/>
      <c r="P29" s="23"/>
      <c r="Q29" s="23"/>
      <c r="R29" s="23"/>
      <c r="S29" s="24"/>
      <c r="T29" s="24"/>
      <c r="U29" s="24"/>
      <c r="V29" s="24"/>
      <c r="W29" s="23"/>
      <c r="X29" s="23"/>
      <c r="Y29" s="23"/>
      <c r="Z29" s="22"/>
    </row>
    <row r="30" spans="1:26" s="1" customFormat="1" ht="12.75">
      <c r="A30" s="24"/>
      <c r="B30" s="23"/>
      <c r="C30" s="23"/>
      <c r="D30" s="21"/>
      <c r="E30" s="21"/>
      <c r="F30" s="24"/>
      <c r="G30" s="24"/>
      <c r="H30" s="24"/>
      <c r="I30" s="24"/>
      <c r="J30" s="23"/>
      <c r="K30" s="23"/>
      <c r="L30" s="23"/>
      <c r="M30" s="24"/>
      <c r="N30" s="24"/>
      <c r="O30" s="24"/>
      <c r="P30" s="23"/>
      <c r="Q30" s="23"/>
      <c r="R30" s="23"/>
      <c r="S30" s="24"/>
      <c r="T30" s="24"/>
      <c r="U30" s="24"/>
      <c r="V30" s="24"/>
      <c r="W30" s="23"/>
      <c r="X30" s="23"/>
      <c r="Y30" s="23"/>
      <c r="Z30" s="22"/>
    </row>
    <row r="31" spans="1:26" s="1" customFormat="1" ht="12.75">
      <c r="A31" s="24"/>
      <c r="B31" s="23"/>
      <c r="C31" s="23"/>
      <c r="D31" s="21"/>
      <c r="E31" s="21"/>
      <c r="F31" s="24"/>
      <c r="G31" s="24"/>
      <c r="H31" s="24"/>
      <c r="I31" s="24"/>
      <c r="J31" s="23"/>
      <c r="K31" s="23"/>
      <c r="L31" s="23"/>
      <c r="M31" s="24"/>
      <c r="N31" s="24"/>
      <c r="O31" s="24"/>
      <c r="P31" s="23"/>
      <c r="Q31" s="23"/>
      <c r="R31" s="23"/>
      <c r="S31" s="24"/>
      <c r="T31" s="24"/>
      <c r="U31" s="24"/>
      <c r="V31" s="24"/>
      <c r="W31" s="23"/>
      <c r="X31" s="23"/>
      <c r="Y31" s="23"/>
      <c r="Z31" s="22"/>
    </row>
    <row r="32" spans="1:26" s="1" customFormat="1" ht="12.75">
      <c r="A32" s="24"/>
      <c r="B32" s="23"/>
      <c r="C32" s="23"/>
      <c r="D32" s="21"/>
      <c r="E32" s="21"/>
      <c r="F32" s="24"/>
      <c r="G32" s="24"/>
      <c r="H32" s="24"/>
      <c r="I32" s="24"/>
      <c r="J32" s="23"/>
      <c r="K32" s="23"/>
      <c r="L32" s="23"/>
      <c r="M32" s="24"/>
      <c r="N32" s="24"/>
      <c r="O32" s="24"/>
      <c r="P32" s="23"/>
      <c r="Q32" s="23"/>
      <c r="R32" s="23"/>
      <c r="S32" s="24"/>
      <c r="T32" s="24"/>
      <c r="U32" s="24"/>
      <c r="V32" s="24"/>
      <c r="W32" s="23"/>
      <c r="X32" s="23"/>
      <c r="Y32" s="23"/>
      <c r="Z32" s="22"/>
    </row>
    <row r="33" spans="1:26" s="1" customFormat="1" ht="12.75">
      <c r="A33" s="24"/>
      <c r="B33" s="23"/>
      <c r="C33" s="23"/>
      <c r="D33" s="21"/>
      <c r="E33" s="21"/>
      <c r="F33" s="24"/>
      <c r="G33" s="24"/>
      <c r="H33" s="24"/>
      <c r="I33" s="24"/>
      <c r="J33" s="23"/>
      <c r="K33" s="23"/>
      <c r="L33" s="23"/>
      <c r="M33" s="24"/>
      <c r="N33" s="24"/>
      <c r="O33" s="24"/>
      <c r="P33" s="23"/>
      <c r="Q33" s="23"/>
      <c r="R33" s="23"/>
      <c r="S33" s="24"/>
      <c r="T33" s="24"/>
      <c r="U33" s="24"/>
      <c r="V33" s="24"/>
      <c r="W33" s="23"/>
      <c r="X33" s="23"/>
      <c r="Y33" s="23"/>
      <c r="Z33" s="22"/>
    </row>
    <row r="34" spans="1:26" s="1" customFormat="1" ht="12.75">
      <c r="A34" s="24"/>
      <c r="B34" s="23"/>
      <c r="C34" s="23"/>
      <c r="D34" s="21"/>
      <c r="E34" s="21"/>
      <c r="F34" s="24"/>
      <c r="G34" s="24"/>
      <c r="H34" s="24"/>
      <c r="I34" s="24"/>
      <c r="J34" s="23"/>
      <c r="K34" s="23"/>
      <c r="L34" s="23"/>
      <c r="M34" s="24"/>
      <c r="N34" s="24"/>
      <c r="O34" s="24"/>
      <c r="P34" s="23"/>
      <c r="Q34" s="23"/>
      <c r="R34" s="23"/>
      <c r="S34" s="24"/>
      <c r="T34" s="24"/>
      <c r="U34" s="24"/>
      <c r="V34" s="24"/>
      <c r="W34" s="23"/>
      <c r="X34" s="23"/>
      <c r="Y34" s="23"/>
      <c r="Z34" s="22"/>
    </row>
    <row r="35" spans="1:26" s="1" customFormat="1" ht="12.75">
      <c r="A35" s="24"/>
      <c r="B35" s="23"/>
      <c r="C35" s="23"/>
      <c r="D35" s="21"/>
      <c r="E35" s="21"/>
      <c r="F35" s="24"/>
      <c r="G35" s="24"/>
      <c r="H35" s="24"/>
      <c r="I35" s="24"/>
      <c r="J35" s="23"/>
      <c r="K35" s="23"/>
      <c r="L35" s="23"/>
      <c r="M35" s="24"/>
      <c r="N35" s="24"/>
      <c r="O35" s="24"/>
      <c r="P35" s="23"/>
      <c r="Q35" s="23"/>
      <c r="R35" s="23"/>
      <c r="S35" s="24"/>
      <c r="T35" s="24"/>
      <c r="U35" s="24"/>
      <c r="V35" s="24"/>
      <c r="W35" s="23"/>
      <c r="X35" s="23"/>
      <c r="Y35" s="23"/>
      <c r="Z35" s="22"/>
    </row>
    <row r="36" spans="1:26" s="1" customFormat="1" ht="12.75">
      <c r="A36" s="24"/>
      <c r="B36" s="23"/>
      <c r="C36" s="23"/>
      <c r="D36" s="21"/>
      <c r="E36" s="21"/>
      <c r="F36" s="24"/>
      <c r="G36" s="24"/>
      <c r="H36" s="24"/>
      <c r="I36" s="24"/>
      <c r="J36" s="23"/>
      <c r="K36" s="23"/>
      <c r="L36" s="23"/>
      <c r="M36" s="24"/>
      <c r="N36" s="24"/>
      <c r="O36" s="24"/>
      <c r="P36" s="23"/>
      <c r="Q36" s="23"/>
      <c r="R36" s="23"/>
      <c r="S36" s="24"/>
      <c r="T36" s="24"/>
      <c r="U36" s="24"/>
      <c r="V36" s="24"/>
      <c r="W36" s="23"/>
      <c r="X36" s="23"/>
      <c r="Y36" s="23"/>
      <c r="Z36" s="22"/>
    </row>
    <row r="37" spans="1:26" s="1" customFormat="1" ht="12.75">
      <c r="A37" s="24"/>
      <c r="B37" s="23"/>
      <c r="C37" s="23"/>
      <c r="D37" s="21"/>
      <c r="E37" s="21"/>
      <c r="F37" s="24"/>
      <c r="G37" s="24"/>
      <c r="H37" s="24"/>
      <c r="I37" s="24"/>
      <c r="J37" s="23"/>
      <c r="K37" s="23"/>
      <c r="L37" s="23"/>
      <c r="M37" s="24"/>
      <c r="N37" s="24"/>
      <c r="O37" s="24"/>
      <c r="P37" s="23"/>
      <c r="Q37" s="23"/>
      <c r="R37" s="23"/>
      <c r="S37" s="24"/>
      <c r="T37" s="24"/>
      <c r="U37" s="24"/>
      <c r="V37" s="24"/>
      <c r="W37" s="23"/>
      <c r="X37" s="23"/>
      <c r="Y37" s="23"/>
      <c r="Z37" s="22"/>
    </row>
    <row r="38" spans="1:26" s="1" customFormat="1" ht="12.75">
      <c r="A38" s="24"/>
      <c r="B38" s="23"/>
      <c r="C38" s="23"/>
      <c r="D38" s="21"/>
      <c r="E38" s="21"/>
      <c r="F38" s="24"/>
      <c r="G38" s="24"/>
      <c r="H38" s="24"/>
      <c r="I38" s="24"/>
      <c r="J38" s="23"/>
      <c r="K38" s="23"/>
      <c r="L38" s="23"/>
      <c r="M38" s="24"/>
      <c r="N38" s="24"/>
      <c r="O38" s="24"/>
      <c r="P38" s="23"/>
      <c r="Q38" s="23"/>
      <c r="R38" s="23"/>
      <c r="S38" s="24"/>
      <c r="T38" s="24"/>
      <c r="U38" s="24"/>
      <c r="V38" s="24"/>
      <c r="W38" s="23"/>
      <c r="X38" s="23"/>
      <c r="Y38" s="23"/>
      <c r="Z38" s="22"/>
    </row>
    <row r="39" spans="1:26" s="1" customFormat="1" ht="12.75">
      <c r="A39" s="24"/>
      <c r="B39" s="23"/>
      <c r="C39" s="23"/>
      <c r="D39" s="21"/>
      <c r="E39" s="21"/>
      <c r="F39" s="24"/>
      <c r="G39" s="24"/>
      <c r="H39" s="24"/>
      <c r="I39" s="24"/>
      <c r="J39" s="23"/>
      <c r="K39" s="23"/>
      <c r="L39" s="23"/>
      <c r="M39" s="24"/>
      <c r="N39" s="24"/>
      <c r="O39" s="24"/>
      <c r="P39" s="23"/>
      <c r="Q39" s="23"/>
      <c r="R39" s="23"/>
      <c r="S39" s="24"/>
      <c r="T39" s="24"/>
      <c r="U39" s="24"/>
      <c r="V39" s="24"/>
      <c r="W39" s="23"/>
      <c r="X39" s="23"/>
      <c r="Y39" s="23"/>
      <c r="Z39" s="22"/>
    </row>
    <row r="40" spans="1:26" s="1" customFormat="1" ht="12.75">
      <c r="A40" s="24"/>
      <c r="B40" s="23"/>
      <c r="C40" s="23"/>
      <c r="D40" s="21"/>
      <c r="E40" s="21"/>
      <c r="F40" s="24"/>
      <c r="G40" s="24"/>
      <c r="H40" s="24"/>
      <c r="I40" s="24"/>
      <c r="J40" s="23"/>
      <c r="K40" s="23"/>
      <c r="L40" s="23"/>
      <c r="M40" s="24"/>
      <c r="N40" s="24"/>
      <c r="O40" s="24"/>
      <c r="P40" s="23"/>
      <c r="Q40" s="23"/>
      <c r="R40" s="23"/>
      <c r="S40" s="24"/>
      <c r="T40" s="24"/>
      <c r="U40" s="24"/>
      <c r="V40" s="24"/>
      <c r="W40" s="23"/>
      <c r="X40" s="23"/>
      <c r="Y40" s="23"/>
      <c r="Z40" s="22"/>
    </row>
    <row r="41" spans="1:26" s="1" customFormat="1" ht="12.75">
      <c r="A41" s="24"/>
      <c r="B41" s="23"/>
      <c r="C41" s="23"/>
      <c r="D41" s="21"/>
      <c r="E41" s="21"/>
      <c r="F41" s="24"/>
      <c r="G41" s="24"/>
      <c r="H41" s="24"/>
      <c r="I41" s="24"/>
      <c r="J41" s="23"/>
      <c r="K41" s="23"/>
      <c r="L41" s="23"/>
      <c r="M41" s="24"/>
      <c r="N41" s="24"/>
      <c r="O41" s="24"/>
      <c r="P41" s="23"/>
      <c r="Q41" s="23"/>
      <c r="R41" s="23"/>
      <c r="S41" s="24"/>
      <c r="T41" s="24"/>
      <c r="U41" s="24"/>
      <c r="V41" s="24"/>
      <c r="W41" s="23"/>
      <c r="X41" s="23"/>
      <c r="Y41" s="23"/>
      <c r="Z41" s="22"/>
    </row>
    <row r="42" spans="1:26" s="1" customFormat="1" ht="12.75">
      <c r="A42" s="24"/>
      <c r="B42" s="23"/>
      <c r="C42" s="23"/>
      <c r="D42" s="21"/>
      <c r="E42" s="21"/>
      <c r="F42" s="24"/>
      <c r="G42" s="24"/>
      <c r="H42" s="24"/>
      <c r="I42" s="24"/>
      <c r="J42" s="23"/>
      <c r="K42" s="23"/>
      <c r="L42" s="23"/>
      <c r="M42" s="24"/>
      <c r="N42" s="24"/>
      <c r="O42" s="24"/>
      <c r="P42" s="23"/>
      <c r="Q42" s="23"/>
      <c r="R42" s="23"/>
      <c r="S42" s="24"/>
      <c r="T42" s="24"/>
      <c r="U42" s="24"/>
      <c r="V42" s="24"/>
      <c r="W42" s="23"/>
      <c r="X42" s="23"/>
      <c r="Y42" s="23"/>
      <c r="Z42" s="22"/>
    </row>
    <row r="43" spans="1:26" s="1" customFormat="1" ht="12.75">
      <c r="A43" s="24"/>
      <c r="B43" s="23"/>
      <c r="C43" s="23"/>
      <c r="D43" s="21"/>
      <c r="E43" s="21"/>
      <c r="F43" s="24"/>
      <c r="G43" s="24"/>
      <c r="H43" s="24"/>
      <c r="I43" s="24"/>
      <c r="J43" s="23"/>
      <c r="K43" s="23"/>
      <c r="L43" s="23"/>
      <c r="M43" s="24"/>
      <c r="N43" s="24"/>
      <c r="O43" s="24"/>
      <c r="P43" s="23"/>
      <c r="Q43" s="23"/>
      <c r="R43" s="23"/>
      <c r="S43" s="24"/>
      <c r="T43" s="24"/>
      <c r="U43" s="24"/>
      <c r="V43" s="24"/>
      <c r="W43" s="23"/>
      <c r="X43" s="23"/>
      <c r="Y43" s="23"/>
      <c r="Z43" s="22"/>
    </row>
    <row r="44" spans="1:26" s="1" customFormat="1" ht="12.75">
      <c r="A44" s="24"/>
      <c r="B44" s="23"/>
      <c r="C44" s="23"/>
      <c r="D44" s="21"/>
      <c r="E44" s="21"/>
      <c r="F44" s="24"/>
      <c r="G44" s="24"/>
      <c r="H44" s="24"/>
      <c r="I44" s="24"/>
      <c r="J44" s="23"/>
      <c r="K44" s="23"/>
      <c r="L44" s="23"/>
      <c r="M44" s="24"/>
      <c r="N44" s="24"/>
      <c r="O44" s="24"/>
      <c r="P44" s="23"/>
      <c r="Q44" s="23"/>
      <c r="R44" s="23"/>
      <c r="S44" s="24"/>
      <c r="T44" s="24"/>
      <c r="U44" s="24"/>
      <c r="V44" s="24"/>
      <c r="W44" s="23"/>
      <c r="X44" s="23"/>
      <c r="Y44" s="23"/>
      <c r="Z44" s="22"/>
    </row>
    <row r="45" spans="1:26" s="1" customFormat="1" ht="12.75">
      <c r="A45" s="24"/>
      <c r="B45" s="23"/>
      <c r="C45" s="23"/>
      <c r="D45" s="21"/>
      <c r="E45" s="21"/>
      <c r="F45" s="24"/>
      <c r="G45" s="24"/>
      <c r="H45" s="24"/>
      <c r="I45" s="24"/>
      <c r="J45" s="23"/>
      <c r="K45" s="23"/>
      <c r="L45" s="23"/>
      <c r="M45" s="24"/>
      <c r="N45" s="24"/>
      <c r="O45" s="24"/>
      <c r="P45" s="23"/>
      <c r="Q45" s="23"/>
      <c r="R45" s="23"/>
      <c r="S45" s="24"/>
      <c r="T45" s="24"/>
      <c r="U45" s="24"/>
      <c r="V45" s="24"/>
      <c r="W45" s="23"/>
      <c r="X45" s="23"/>
      <c r="Y45" s="23"/>
      <c r="Z45" s="22"/>
    </row>
    <row r="46" spans="1:26" s="1" customFormat="1" ht="12.75">
      <c r="A46" s="24"/>
      <c r="B46" s="23"/>
      <c r="C46" s="23"/>
      <c r="D46" s="21"/>
      <c r="E46" s="21"/>
      <c r="F46" s="24"/>
      <c r="G46" s="24"/>
      <c r="H46" s="24"/>
      <c r="I46" s="24"/>
      <c r="J46" s="23"/>
      <c r="K46" s="23"/>
      <c r="L46" s="23"/>
      <c r="M46" s="24"/>
      <c r="N46" s="24"/>
      <c r="O46" s="24"/>
      <c r="P46" s="23"/>
      <c r="Q46" s="23"/>
      <c r="R46" s="23"/>
      <c r="S46" s="24"/>
      <c r="T46" s="24"/>
      <c r="U46" s="24"/>
      <c r="V46" s="24"/>
      <c r="W46" s="23"/>
      <c r="X46" s="23"/>
      <c r="Y46" s="23"/>
      <c r="Z46" s="22"/>
    </row>
    <row r="47" spans="1:26" s="1" customFormat="1" ht="12.75">
      <c r="A47" s="24"/>
      <c r="B47" s="23"/>
      <c r="C47" s="23"/>
      <c r="D47" s="21"/>
      <c r="E47" s="21"/>
      <c r="F47" s="24"/>
      <c r="G47" s="24"/>
      <c r="H47" s="24"/>
      <c r="I47" s="24"/>
      <c r="J47" s="23"/>
      <c r="K47" s="23"/>
      <c r="L47" s="23"/>
      <c r="M47" s="24"/>
      <c r="N47" s="24"/>
      <c r="O47" s="24"/>
      <c r="P47" s="23"/>
      <c r="Q47" s="23"/>
      <c r="R47" s="23"/>
      <c r="S47" s="24"/>
      <c r="T47" s="24"/>
      <c r="U47" s="24"/>
      <c r="V47" s="24"/>
      <c r="W47" s="23"/>
      <c r="X47" s="23"/>
      <c r="Y47" s="23"/>
      <c r="Z47" s="22"/>
    </row>
    <row r="48" spans="1:26" s="1" customFormat="1" ht="12.75">
      <c r="A48" s="24"/>
      <c r="B48" s="23"/>
      <c r="C48" s="23"/>
      <c r="D48" s="21"/>
      <c r="E48" s="21"/>
      <c r="F48" s="24"/>
      <c r="G48" s="24"/>
      <c r="H48" s="24"/>
      <c r="I48" s="24"/>
      <c r="J48" s="23"/>
      <c r="K48" s="23"/>
      <c r="L48" s="23"/>
      <c r="M48" s="24"/>
      <c r="N48" s="24"/>
      <c r="O48" s="24"/>
      <c r="P48" s="23"/>
      <c r="Q48" s="23"/>
      <c r="R48" s="23"/>
      <c r="S48" s="24"/>
      <c r="T48" s="24"/>
      <c r="U48" s="24"/>
      <c r="V48" s="24"/>
      <c r="W48" s="23"/>
      <c r="X48" s="23"/>
      <c r="Y48" s="23"/>
      <c r="Z48" s="22"/>
    </row>
    <row r="49" spans="1:26" s="1" customFormat="1" ht="12.75">
      <c r="A49" s="24"/>
      <c r="B49" s="23"/>
      <c r="C49" s="23"/>
      <c r="D49" s="21"/>
      <c r="E49" s="21"/>
      <c r="F49" s="24"/>
      <c r="G49" s="24"/>
      <c r="H49" s="24"/>
      <c r="I49" s="24"/>
      <c r="J49" s="23"/>
      <c r="K49" s="23"/>
      <c r="L49" s="23"/>
      <c r="M49" s="24"/>
      <c r="N49" s="24"/>
      <c r="O49" s="24"/>
      <c r="P49" s="23"/>
      <c r="Q49" s="23"/>
      <c r="R49" s="23"/>
      <c r="S49" s="24"/>
      <c r="T49" s="24"/>
      <c r="U49" s="24"/>
      <c r="V49" s="24"/>
      <c r="W49" s="23"/>
      <c r="X49" s="23"/>
      <c r="Y49" s="23"/>
      <c r="Z49" s="22"/>
    </row>
    <row r="50" spans="1:26" s="1" customFormat="1" ht="12.75">
      <c r="A50" s="24"/>
      <c r="B50" s="23"/>
      <c r="C50" s="23"/>
      <c r="D50" s="21"/>
      <c r="E50" s="21"/>
      <c r="F50" s="24"/>
      <c r="G50" s="24"/>
      <c r="H50" s="24"/>
      <c r="I50" s="24"/>
      <c r="J50" s="23"/>
      <c r="K50" s="23"/>
      <c r="L50" s="23"/>
      <c r="M50" s="24"/>
      <c r="N50" s="24"/>
      <c r="O50" s="24"/>
      <c r="P50" s="23"/>
      <c r="Q50" s="23"/>
      <c r="R50" s="23"/>
      <c r="S50" s="24"/>
      <c r="T50" s="24"/>
      <c r="U50" s="24"/>
      <c r="V50" s="24"/>
      <c r="W50" s="23"/>
      <c r="X50" s="23"/>
      <c r="Y50" s="23"/>
      <c r="Z50" s="22"/>
    </row>
    <row r="51" spans="1:26" s="1" customFormat="1" ht="12.75">
      <c r="A51" s="24"/>
      <c r="B51" s="23"/>
      <c r="C51" s="23"/>
      <c r="D51" s="21"/>
      <c r="E51" s="21"/>
      <c r="F51" s="24"/>
      <c r="G51" s="24"/>
      <c r="H51" s="24"/>
      <c r="I51" s="24"/>
      <c r="J51" s="23"/>
      <c r="K51" s="23"/>
      <c r="L51" s="23"/>
      <c r="M51" s="24"/>
      <c r="N51" s="24"/>
      <c r="O51" s="24"/>
      <c r="P51" s="23"/>
      <c r="Q51" s="23"/>
      <c r="R51" s="23"/>
      <c r="S51" s="24"/>
      <c r="T51" s="24"/>
      <c r="U51" s="24"/>
      <c r="V51" s="24"/>
      <c r="W51" s="23"/>
      <c r="X51" s="23"/>
      <c r="Y51" s="23"/>
      <c r="Z51" s="22"/>
    </row>
    <row r="52" spans="1:26" s="1" customFormat="1" ht="12.75">
      <c r="A52" s="24"/>
      <c r="B52" s="23"/>
      <c r="C52" s="23"/>
      <c r="D52" s="21"/>
      <c r="E52" s="21"/>
      <c r="F52" s="24"/>
      <c r="G52" s="24"/>
      <c r="H52" s="24"/>
      <c r="I52" s="24"/>
      <c r="J52" s="23"/>
      <c r="K52" s="23"/>
      <c r="L52" s="23"/>
      <c r="M52" s="24"/>
      <c r="N52" s="24"/>
      <c r="O52" s="24"/>
      <c r="P52" s="23"/>
      <c r="Q52" s="23"/>
      <c r="R52" s="23"/>
      <c r="S52" s="24"/>
      <c r="T52" s="24"/>
      <c r="U52" s="24"/>
      <c r="V52" s="24"/>
      <c r="W52" s="23"/>
      <c r="X52" s="23"/>
      <c r="Y52" s="23"/>
      <c r="Z52" s="22"/>
    </row>
    <row r="53" spans="1:26" s="1" customFormat="1" ht="12.75">
      <c r="A53" s="24"/>
      <c r="B53" s="23"/>
      <c r="C53" s="23"/>
      <c r="D53" s="21"/>
      <c r="E53" s="21"/>
      <c r="F53" s="24"/>
      <c r="G53" s="24"/>
      <c r="H53" s="24"/>
      <c r="I53" s="24"/>
      <c r="J53" s="23"/>
      <c r="K53" s="23"/>
      <c r="L53" s="23"/>
      <c r="M53" s="24"/>
      <c r="N53" s="24"/>
      <c r="O53" s="24"/>
      <c r="P53" s="23"/>
      <c r="Q53" s="23"/>
      <c r="R53" s="23"/>
      <c r="S53" s="24"/>
      <c r="T53" s="24"/>
      <c r="U53" s="24"/>
      <c r="V53" s="24"/>
      <c r="W53" s="23"/>
      <c r="X53" s="23"/>
      <c r="Y53" s="23"/>
      <c r="Z53" s="22"/>
    </row>
    <row r="54" spans="1:26" s="1" customFormat="1" ht="12.75">
      <c r="A54" s="24"/>
      <c r="B54" s="23"/>
      <c r="C54" s="23"/>
      <c r="D54" s="21"/>
      <c r="E54" s="21"/>
      <c r="F54" s="24"/>
      <c r="G54" s="24"/>
      <c r="H54" s="24"/>
      <c r="I54" s="24"/>
      <c r="J54" s="23"/>
      <c r="K54" s="23"/>
      <c r="L54" s="23"/>
      <c r="M54" s="24"/>
      <c r="N54" s="24"/>
      <c r="O54" s="24"/>
      <c r="P54" s="23"/>
      <c r="Q54" s="23"/>
      <c r="R54" s="23"/>
      <c r="S54" s="24"/>
      <c r="T54" s="24"/>
      <c r="U54" s="24"/>
      <c r="V54" s="24"/>
      <c r="W54" s="23"/>
      <c r="X54" s="23"/>
      <c r="Y54" s="23"/>
      <c r="Z54" s="22"/>
    </row>
    <row r="55" spans="1:26" s="1" customFormat="1" ht="12.75">
      <c r="A55" s="24"/>
      <c r="B55" s="23"/>
      <c r="C55" s="23"/>
      <c r="D55" s="21"/>
      <c r="E55" s="21"/>
      <c r="F55" s="24"/>
      <c r="G55" s="24"/>
      <c r="H55" s="24"/>
      <c r="I55" s="24"/>
      <c r="J55" s="23"/>
      <c r="K55" s="23"/>
      <c r="L55" s="23"/>
      <c r="M55" s="24"/>
      <c r="N55" s="24"/>
      <c r="O55" s="24"/>
      <c r="P55" s="23"/>
      <c r="Q55" s="23"/>
      <c r="R55" s="23"/>
      <c r="S55" s="24"/>
      <c r="T55" s="24"/>
      <c r="U55" s="24"/>
      <c r="V55" s="24"/>
      <c r="W55" s="23"/>
      <c r="X55" s="23"/>
      <c r="Y55" s="23"/>
      <c r="Z55" s="22"/>
    </row>
    <row r="56" spans="1:26" s="1" customFormat="1" ht="12.75">
      <c r="A56" s="24"/>
      <c r="B56" s="23"/>
      <c r="C56" s="23"/>
      <c r="D56" s="21"/>
      <c r="E56" s="21"/>
      <c r="F56" s="24"/>
      <c r="G56" s="24"/>
      <c r="H56" s="24"/>
      <c r="I56" s="24"/>
      <c r="J56" s="23"/>
      <c r="K56" s="23"/>
      <c r="L56" s="23"/>
      <c r="M56" s="24"/>
      <c r="N56" s="24"/>
      <c r="O56" s="24"/>
      <c r="P56" s="23"/>
      <c r="Q56" s="23"/>
      <c r="R56" s="23"/>
      <c r="S56" s="24"/>
      <c r="T56" s="24"/>
      <c r="U56" s="24"/>
      <c r="V56" s="24"/>
      <c r="W56" s="23"/>
      <c r="X56" s="23"/>
      <c r="Y56" s="23"/>
      <c r="Z56" s="22"/>
    </row>
    <row r="57" spans="1:26" s="1" customFormat="1" ht="12.75">
      <c r="A57" s="24"/>
      <c r="B57" s="23"/>
      <c r="C57" s="23"/>
      <c r="D57" s="21"/>
      <c r="E57" s="21"/>
      <c r="F57" s="24"/>
      <c r="G57" s="24"/>
      <c r="H57" s="24"/>
      <c r="I57" s="24"/>
      <c r="J57" s="23"/>
      <c r="K57" s="23"/>
      <c r="L57" s="23"/>
      <c r="M57" s="24"/>
      <c r="N57" s="24"/>
      <c r="O57" s="24"/>
      <c r="P57" s="23"/>
      <c r="Q57" s="23"/>
      <c r="R57" s="23"/>
      <c r="S57" s="24"/>
      <c r="T57" s="24"/>
      <c r="U57" s="24"/>
      <c r="V57" s="24"/>
      <c r="W57" s="23"/>
      <c r="X57" s="23"/>
      <c r="Y57" s="23"/>
      <c r="Z57" s="22"/>
    </row>
    <row r="58" spans="1:26" s="1" customFormat="1" ht="12.75">
      <c r="A58" s="24"/>
      <c r="B58" s="23"/>
      <c r="C58" s="23"/>
      <c r="D58" s="21"/>
      <c r="E58" s="21"/>
      <c r="F58" s="24"/>
      <c r="G58" s="24"/>
      <c r="H58" s="24"/>
      <c r="I58" s="24"/>
      <c r="J58" s="23"/>
      <c r="K58" s="23"/>
      <c r="L58" s="23"/>
      <c r="M58" s="24"/>
      <c r="N58" s="24"/>
      <c r="O58" s="24"/>
      <c r="P58" s="23"/>
      <c r="Q58" s="23"/>
      <c r="R58" s="23"/>
      <c r="S58" s="24"/>
      <c r="T58" s="24"/>
      <c r="U58" s="24"/>
      <c r="V58" s="24"/>
      <c r="W58" s="23"/>
      <c r="X58" s="23"/>
      <c r="Y58" s="23"/>
      <c r="Z58" s="22"/>
    </row>
    <row r="59" spans="1:26" s="1" customFormat="1" ht="12.75">
      <c r="A59" s="24"/>
      <c r="B59" s="23"/>
      <c r="C59" s="23"/>
      <c r="D59" s="21"/>
      <c r="E59" s="21"/>
      <c r="F59" s="24"/>
      <c r="G59" s="24"/>
      <c r="H59" s="24"/>
      <c r="I59" s="24"/>
      <c r="J59" s="23"/>
      <c r="K59" s="23"/>
      <c r="L59" s="23"/>
      <c r="M59" s="24"/>
      <c r="N59" s="24"/>
      <c r="O59" s="24"/>
      <c r="P59" s="23"/>
      <c r="Q59" s="23"/>
      <c r="R59" s="23"/>
      <c r="S59" s="24"/>
      <c r="T59" s="24"/>
      <c r="U59" s="24"/>
      <c r="V59" s="24"/>
      <c r="W59" s="23"/>
      <c r="X59" s="23"/>
      <c r="Y59" s="23"/>
      <c r="Z59" s="22"/>
    </row>
    <row r="60" spans="1:26" s="1" customFormat="1" ht="12.75">
      <c r="A60" s="24"/>
      <c r="B60" s="23"/>
      <c r="C60" s="23"/>
      <c r="D60" s="21"/>
      <c r="E60" s="21"/>
      <c r="F60" s="24"/>
      <c r="G60" s="24"/>
      <c r="H60" s="24"/>
      <c r="I60" s="24"/>
      <c r="J60" s="23"/>
      <c r="K60" s="23"/>
      <c r="L60" s="23"/>
      <c r="M60" s="24"/>
      <c r="N60" s="24"/>
      <c r="O60" s="24"/>
      <c r="P60" s="23"/>
      <c r="Q60" s="23"/>
      <c r="R60" s="23"/>
      <c r="S60" s="24"/>
      <c r="T60" s="24"/>
      <c r="U60" s="24"/>
      <c r="V60" s="24"/>
      <c r="W60" s="23"/>
      <c r="X60" s="23"/>
      <c r="Y60" s="23"/>
      <c r="Z60" s="22"/>
    </row>
    <row r="61" spans="1:26" s="1" customFormat="1" ht="12.75">
      <c r="A61" s="24"/>
      <c r="B61" s="23"/>
      <c r="C61" s="23"/>
      <c r="D61" s="21"/>
      <c r="E61" s="21"/>
      <c r="F61" s="24"/>
      <c r="G61" s="24"/>
      <c r="H61" s="24"/>
      <c r="I61" s="24"/>
      <c r="J61" s="23"/>
      <c r="K61" s="23"/>
      <c r="L61" s="23"/>
      <c r="M61" s="24"/>
      <c r="N61" s="24"/>
      <c r="O61" s="24"/>
      <c r="P61" s="23"/>
      <c r="Q61" s="23"/>
      <c r="R61" s="23"/>
      <c r="S61" s="24"/>
      <c r="T61" s="24"/>
      <c r="U61" s="24"/>
      <c r="V61" s="24"/>
      <c r="W61" s="23"/>
      <c r="X61" s="23"/>
      <c r="Y61" s="23"/>
      <c r="Z61" s="22"/>
    </row>
    <row r="62" spans="1:26" s="1" customFormat="1" ht="12.75">
      <c r="A62" s="24"/>
      <c r="B62" s="23"/>
      <c r="C62" s="23"/>
      <c r="D62" s="21"/>
      <c r="E62" s="21"/>
      <c r="F62" s="24"/>
      <c r="G62" s="24"/>
      <c r="H62" s="24"/>
      <c r="I62" s="24"/>
      <c r="J62" s="23"/>
      <c r="K62" s="23"/>
      <c r="L62" s="23"/>
      <c r="M62" s="24"/>
      <c r="N62" s="24"/>
      <c r="O62" s="24"/>
      <c r="P62" s="23"/>
      <c r="Q62" s="23"/>
      <c r="R62" s="23"/>
      <c r="S62" s="24"/>
      <c r="T62" s="24"/>
      <c r="U62" s="24"/>
      <c r="V62" s="24"/>
      <c r="W62" s="23"/>
      <c r="X62" s="23"/>
      <c r="Y62" s="23"/>
      <c r="Z62" s="22"/>
    </row>
    <row r="63" spans="1:26" s="1" customFormat="1" ht="12.75">
      <c r="A63" s="24"/>
      <c r="B63" s="23"/>
      <c r="C63" s="23"/>
      <c r="D63" s="21"/>
      <c r="E63" s="21"/>
      <c r="F63" s="24"/>
      <c r="G63" s="24"/>
      <c r="H63" s="24"/>
      <c r="I63" s="24"/>
      <c r="J63" s="23"/>
      <c r="K63" s="23"/>
      <c r="L63" s="23"/>
      <c r="M63" s="24"/>
      <c r="N63" s="24"/>
      <c r="O63" s="24"/>
      <c r="P63" s="23"/>
      <c r="Q63" s="23"/>
      <c r="R63" s="23"/>
      <c r="S63" s="24"/>
      <c r="T63" s="24"/>
      <c r="U63" s="24"/>
      <c r="V63" s="24"/>
      <c r="W63" s="23"/>
      <c r="X63" s="23"/>
      <c r="Y63" s="23"/>
      <c r="Z63" s="22"/>
    </row>
    <row r="64" spans="1:26" s="1" customFormat="1" ht="12.75">
      <c r="A64" s="24"/>
      <c r="B64" s="23"/>
      <c r="C64" s="23"/>
      <c r="D64" s="21"/>
      <c r="E64" s="21"/>
      <c r="F64" s="24"/>
      <c r="G64" s="24"/>
      <c r="H64" s="24"/>
      <c r="I64" s="24"/>
      <c r="J64" s="23"/>
      <c r="K64" s="23"/>
      <c r="L64" s="23"/>
      <c r="M64" s="24"/>
      <c r="N64" s="24"/>
      <c r="O64" s="24"/>
      <c r="P64" s="23"/>
      <c r="Q64" s="23"/>
      <c r="R64" s="23"/>
      <c r="S64" s="24"/>
      <c r="T64" s="24"/>
      <c r="U64" s="24"/>
      <c r="V64" s="24"/>
      <c r="W64" s="23"/>
      <c r="X64" s="23"/>
      <c r="Y64" s="23"/>
      <c r="Z64" s="22"/>
    </row>
    <row r="65" spans="1:26" s="1" customFormat="1" ht="12.75">
      <c r="A65" s="24"/>
      <c r="B65" s="23"/>
      <c r="C65" s="23"/>
      <c r="D65" s="21"/>
      <c r="E65" s="21"/>
      <c r="F65" s="24"/>
      <c r="G65" s="24"/>
      <c r="H65" s="24"/>
      <c r="I65" s="24"/>
      <c r="J65" s="23"/>
      <c r="K65" s="23"/>
      <c r="L65" s="23"/>
      <c r="M65" s="24"/>
      <c r="N65" s="24"/>
      <c r="O65" s="24"/>
      <c r="P65" s="23"/>
      <c r="Q65" s="23"/>
      <c r="R65" s="23"/>
      <c r="S65" s="24"/>
      <c r="T65" s="24"/>
      <c r="U65" s="24"/>
      <c r="V65" s="24"/>
      <c r="W65" s="23"/>
      <c r="X65" s="23"/>
      <c r="Y65" s="23"/>
      <c r="Z65" s="22"/>
    </row>
    <row r="66" spans="1:26" s="1" customFormat="1" ht="12.75">
      <c r="A66" s="24"/>
      <c r="B66" s="23"/>
      <c r="C66" s="23"/>
      <c r="D66" s="21"/>
      <c r="E66" s="21"/>
      <c r="F66" s="24"/>
      <c r="G66" s="24"/>
      <c r="H66" s="24"/>
      <c r="I66" s="24"/>
      <c r="J66" s="23"/>
      <c r="K66" s="23"/>
      <c r="L66" s="23"/>
      <c r="M66" s="24"/>
      <c r="N66" s="24"/>
      <c r="O66" s="24"/>
      <c r="P66" s="23"/>
      <c r="Q66" s="23"/>
      <c r="R66" s="23"/>
      <c r="S66" s="24"/>
      <c r="T66" s="24"/>
      <c r="U66" s="24"/>
      <c r="V66" s="24"/>
      <c r="W66" s="23"/>
      <c r="X66" s="23"/>
      <c r="Y66" s="23"/>
      <c r="Z66" s="22"/>
    </row>
    <row r="67" spans="1:26" s="1" customFormat="1" ht="12.75">
      <c r="A67" s="24"/>
      <c r="B67" s="23"/>
      <c r="C67" s="23"/>
      <c r="D67" s="21"/>
      <c r="E67" s="21"/>
      <c r="F67" s="24"/>
      <c r="G67" s="24"/>
      <c r="H67" s="24"/>
      <c r="I67" s="24"/>
      <c r="J67" s="23"/>
      <c r="K67" s="23"/>
      <c r="L67" s="23"/>
      <c r="M67" s="24"/>
      <c r="N67" s="24"/>
      <c r="O67" s="24"/>
      <c r="P67" s="23"/>
      <c r="Q67" s="23"/>
      <c r="R67" s="23"/>
      <c r="S67" s="24"/>
      <c r="T67" s="24"/>
      <c r="U67" s="24"/>
      <c r="V67" s="24"/>
      <c r="W67" s="23"/>
      <c r="X67" s="23"/>
      <c r="Y67" s="23"/>
      <c r="Z67" s="22"/>
    </row>
    <row r="68" spans="1:26" s="1" customFormat="1" ht="12.75">
      <c r="A68" s="24"/>
      <c r="B68" s="23"/>
      <c r="C68" s="23"/>
      <c r="D68" s="21"/>
      <c r="E68" s="21"/>
      <c r="F68" s="24"/>
      <c r="G68" s="24"/>
      <c r="H68" s="24"/>
      <c r="I68" s="24"/>
      <c r="J68" s="23"/>
      <c r="K68" s="23"/>
      <c r="L68" s="23"/>
      <c r="M68" s="24"/>
      <c r="N68" s="24"/>
      <c r="O68" s="24"/>
      <c r="P68" s="23"/>
      <c r="Q68" s="23"/>
      <c r="R68" s="23"/>
      <c r="S68" s="24"/>
      <c r="T68" s="24"/>
      <c r="U68" s="24"/>
      <c r="V68" s="24"/>
      <c r="W68" s="23"/>
      <c r="X68" s="23"/>
      <c r="Y68" s="23"/>
      <c r="Z68" s="22"/>
    </row>
    <row r="69" spans="1:26" s="1" customFormat="1" ht="12.75">
      <c r="A69" s="24"/>
      <c r="B69" s="23"/>
      <c r="C69" s="23"/>
      <c r="D69" s="21"/>
      <c r="E69" s="21"/>
      <c r="F69" s="24"/>
      <c r="G69" s="24"/>
      <c r="H69" s="24"/>
      <c r="I69" s="24"/>
      <c r="J69" s="23"/>
      <c r="K69" s="23"/>
      <c r="L69" s="23"/>
      <c r="M69" s="24"/>
      <c r="N69" s="24"/>
      <c r="O69" s="24"/>
      <c r="P69" s="23"/>
      <c r="Q69" s="23"/>
      <c r="R69" s="23"/>
      <c r="S69" s="24"/>
      <c r="T69" s="24"/>
      <c r="U69" s="24"/>
      <c r="V69" s="24"/>
      <c r="W69" s="23"/>
      <c r="X69" s="23"/>
      <c r="Y69" s="23"/>
      <c r="Z69" s="22"/>
    </row>
    <row r="70" spans="1:26" s="1" customFormat="1" ht="12.75">
      <c r="A70" s="24"/>
      <c r="B70" s="23"/>
      <c r="C70" s="23"/>
      <c r="D70" s="21"/>
      <c r="E70" s="21"/>
      <c r="F70" s="24"/>
      <c r="G70" s="24"/>
      <c r="H70" s="24"/>
      <c r="I70" s="24"/>
      <c r="J70" s="23"/>
      <c r="K70" s="23"/>
      <c r="L70" s="23"/>
      <c r="M70" s="24"/>
      <c r="N70" s="24"/>
      <c r="O70" s="24"/>
      <c r="P70" s="23"/>
      <c r="Q70" s="23"/>
      <c r="R70" s="23"/>
      <c r="S70" s="24"/>
      <c r="T70" s="24"/>
      <c r="U70" s="24"/>
      <c r="V70" s="24"/>
      <c r="W70" s="23"/>
      <c r="X70" s="23"/>
      <c r="Y70" s="23"/>
      <c r="Z70" s="22"/>
    </row>
    <row r="71" spans="1:26" s="1" customFormat="1" ht="12.75">
      <c r="A71" s="24"/>
      <c r="B71" s="23"/>
      <c r="C71" s="23"/>
      <c r="D71" s="21"/>
      <c r="E71" s="21"/>
      <c r="F71" s="24"/>
      <c r="G71" s="24"/>
      <c r="H71" s="24"/>
      <c r="I71" s="24"/>
      <c r="J71" s="23"/>
      <c r="K71" s="23"/>
      <c r="L71" s="23"/>
      <c r="M71" s="24"/>
      <c r="N71" s="24"/>
      <c r="O71" s="24"/>
      <c r="P71" s="23"/>
      <c r="Q71" s="23"/>
      <c r="R71" s="23"/>
      <c r="S71" s="24"/>
      <c r="T71" s="24"/>
      <c r="U71" s="24"/>
      <c r="V71" s="24"/>
      <c r="W71" s="23"/>
      <c r="X71" s="23"/>
      <c r="Y71" s="23"/>
      <c r="Z71" s="22"/>
    </row>
    <row r="72" spans="1:26" s="1" customFormat="1" ht="12.75">
      <c r="A72" s="24"/>
      <c r="B72" s="23"/>
      <c r="C72" s="23"/>
      <c r="D72" s="21"/>
      <c r="E72" s="21"/>
      <c r="F72" s="24"/>
      <c r="G72" s="24"/>
      <c r="H72" s="24"/>
      <c r="I72" s="24"/>
      <c r="J72" s="23"/>
      <c r="K72" s="23"/>
      <c r="L72" s="23"/>
      <c r="M72" s="24"/>
      <c r="N72" s="24"/>
      <c r="O72" s="24"/>
      <c r="P72" s="23"/>
      <c r="Q72" s="23"/>
      <c r="R72" s="23"/>
      <c r="S72" s="24"/>
      <c r="T72" s="24"/>
      <c r="U72" s="24"/>
      <c r="V72" s="24"/>
      <c r="W72" s="23"/>
      <c r="X72" s="23"/>
      <c r="Y72" s="23"/>
      <c r="Z72" s="22"/>
    </row>
    <row r="73" spans="1:26" s="1" customFormat="1" ht="12.75">
      <c r="A73" s="24"/>
      <c r="B73" s="23"/>
      <c r="C73" s="23"/>
      <c r="D73" s="21"/>
      <c r="E73" s="21"/>
      <c r="F73" s="24"/>
      <c r="G73" s="24"/>
      <c r="H73" s="24"/>
      <c r="I73" s="24"/>
      <c r="J73" s="23"/>
      <c r="K73" s="23"/>
      <c r="L73" s="23"/>
      <c r="M73" s="24"/>
      <c r="N73" s="24"/>
      <c r="O73" s="24"/>
      <c r="P73" s="23"/>
      <c r="Q73" s="23"/>
      <c r="R73" s="23"/>
      <c r="S73" s="24"/>
      <c r="T73" s="24"/>
      <c r="U73" s="24"/>
      <c r="V73" s="24"/>
      <c r="W73" s="23"/>
      <c r="X73" s="23"/>
      <c r="Y73" s="23"/>
      <c r="Z73" s="22"/>
    </row>
    <row r="74" spans="1:26" s="1" customFormat="1" ht="12.75">
      <c r="A74" s="24"/>
      <c r="B74" s="23"/>
      <c r="C74" s="23"/>
      <c r="D74" s="21"/>
      <c r="E74" s="21"/>
      <c r="F74" s="24"/>
      <c r="G74" s="24"/>
      <c r="H74" s="24"/>
      <c r="I74" s="24"/>
      <c r="J74" s="23"/>
      <c r="K74" s="23"/>
      <c r="L74" s="23"/>
      <c r="M74" s="24"/>
      <c r="N74" s="24"/>
      <c r="O74" s="24"/>
      <c r="P74" s="23"/>
      <c r="Q74" s="23"/>
      <c r="R74" s="23"/>
      <c r="S74" s="24"/>
      <c r="T74" s="24"/>
      <c r="U74" s="24"/>
      <c r="V74" s="24"/>
      <c r="W74" s="23"/>
      <c r="X74" s="23"/>
      <c r="Y74" s="23"/>
      <c r="Z74" s="22"/>
    </row>
    <row r="75" spans="1:26" s="1" customFormat="1" ht="12.75">
      <c r="A75" s="24"/>
      <c r="B75" s="23"/>
      <c r="C75" s="23"/>
      <c r="D75" s="21"/>
      <c r="E75" s="21"/>
      <c r="F75" s="24"/>
      <c r="G75" s="24"/>
      <c r="H75" s="24"/>
      <c r="I75" s="24"/>
      <c r="J75" s="23"/>
      <c r="K75" s="23"/>
      <c r="L75" s="23"/>
      <c r="M75" s="24"/>
      <c r="N75" s="24"/>
      <c r="O75" s="24"/>
      <c r="P75" s="23"/>
      <c r="Q75" s="23"/>
      <c r="R75" s="23"/>
      <c r="S75" s="24"/>
      <c r="T75" s="24"/>
      <c r="U75" s="24"/>
      <c r="V75" s="24"/>
      <c r="W75" s="23"/>
      <c r="X75" s="23"/>
      <c r="Y75" s="23"/>
      <c r="Z75" s="22"/>
    </row>
    <row r="76" spans="1:26" s="1" customFormat="1" ht="12.75">
      <c r="A76" s="24"/>
      <c r="B76" s="23"/>
      <c r="C76" s="23"/>
      <c r="D76" s="21"/>
      <c r="E76" s="21"/>
      <c r="F76" s="24"/>
      <c r="G76" s="24"/>
      <c r="H76" s="24"/>
      <c r="I76" s="24"/>
      <c r="J76" s="23" t="s">
        <v>37</v>
      </c>
      <c r="K76" s="23"/>
      <c r="L76" s="23"/>
      <c r="M76" s="24"/>
      <c r="N76" s="24"/>
      <c r="O76" s="24"/>
      <c r="P76" s="23"/>
      <c r="Q76" s="23"/>
      <c r="R76" s="23"/>
      <c r="S76" s="24"/>
      <c r="T76" s="24"/>
      <c r="U76" s="24"/>
      <c r="V76" s="24"/>
      <c r="W76" s="23"/>
      <c r="X76" s="23"/>
      <c r="Y76" s="23"/>
      <c r="Z76" s="22"/>
    </row>
    <row r="77" spans="1:26" s="1" customFormat="1" ht="12.75">
      <c r="A77" s="24"/>
      <c r="B77" s="23"/>
      <c r="C77" s="23"/>
      <c r="D77" s="21"/>
      <c r="E77" s="21"/>
      <c r="F77" s="24"/>
      <c r="G77" s="24"/>
      <c r="H77" s="24"/>
      <c r="I77" s="24"/>
      <c r="J77" s="23"/>
      <c r="K77" s="23"/>
      <c r="L77" s="23"/>
      <c r="M77" s="24"/>
      <c r="N77" s="24"/>
      <c r="O77" s="24"/>
      <c r="P77" s="23"/>
      <c r="Q77" s="23"/>
      <c r="R77" s="23"/>
      <c r="S77" s="24"/>
      <c r="T77" s="24"/>
      <c r="U77" s="24"/>
      <c r="V77" s="24"/>
      <c r="W77" s="23"/>
      <c r="X77" s="23"/>
      <c r="Y77" s="23"/>
      <c r="Z77" s="22"/>
    </row>
    <row r="78" spans="1:26" s="1" customFormat="1" ht="12.75">
      <c r="A78" s="24"/>
      <c r="B78" s="23"/>
      <c r="C78" s="23"/>
      <c r="D78" s="21"/>
      <c r="E78" s="21"/>
      <c r="F78" s="24"/>
      <c r="G78" s="24"/>
      <c r="H78" s="24"/>
      <c r="I78" s="24"/>
      <c r="J78" s="23"/>
      <c r="K78" s="23"/>
      <c r="L78" s="23"/>
      <c r="M78" s="24"/>
      <c r="N78" s="24"/>
      <c r="O78" s="24"/>
      <c r="P78" s="23"/>
      <c r="Q78" s="23"/>
      <c r="R78" s="23"/>
      <c r="S78" s="24"/>
      <c r="T78" s="24"/>
      <c r="U78" s="24"/>
      <c r="V78" s="24"/>
      <c r="W78" s="23"/>
      <c r="X78" s="23"/>
      <c r="Y78" s="23"/>
      <c r="Z78" s="22"/>
    </row>
    <row r="79" spans="1:26" s="1" customFormat="1" ht="12.75">
      <c r="A79" s="24"/>
      <c r="B79" s="23"/>
      <c r="C79" s="23"/>
      <c r="D79" s="21"/>
      <c r="E79" s="21"/>
      <c r="F79" s="24"/>
      <c r="G79" s="24"/>
      <c r="H79" s="24"/>
      <c r="I79" s="24"/>
      <c r="J79" s="23"/>
      <c r="K79" s="23"/>
      <c r="L79" s="23"/>
      <c r="M79" s="24"/>
      <c r="N79" s="24"/>
      <c r="O79" s="24"/>
      <c r="P79" s="23"/>
      <c r="Q79" s="23"/>
      <c r="R79" s="23"/>
      <c r="S79" s="24"/>
      <c r="T79" s="24"/>
      <c r="U79" s="24"/>
      <c r="V79" s="24"/>
      <c r="W79" s="23"/>
      <c r="X79" s="23"/>
      <c r="Y79" s="23"/>
      <c r="Z79" s="22"/>
    </row>
    <row r="80" spans="1:26" s="1" customFormat="1" ht="12.75">
      <c r="A80" s="24" t="s">
        <v>38</v>
      </c>
      <c r="B80" s="23">
        <v>775</v>
      </c>
      <c r="C80" s="25" t="s">
        <v>36</v>
      </c>
      <c r="D80" s="26" t="s">
        <v>9</v>
      </c>
      <c r="E80" s="26" t="s">
        <v>9</v>
      </c>
      <c r="F80" s="27">
        <v>5</v>
      </c>
      <c r="G80" s="27">
        <v>5</v>
      </c>
      <c r="H80" s="27">
        <v>5</v>
      </c>
      <c r="I80" s="27">
        <v>3</v>
      </c>
      <c r="J80" s="25">
        <v>62</v>
      </c>
      <c r="K80" s="25">
        <v>65</v>
      </c>
      <c r="L80" s="25">
        <v>68</v>
      </c>
      <c r="M80" s="27">
        <v>71</v>
      </c>
      <c r="N80" s="27">
        <v>71</v>
      </c>
      <c r="O80" s="27">
        <v>71</v>
      </c>
      <c r="P80" s="25">
        <v>100</v>
      </c>
      <c r="Q80" s="25">
        <v>72</v>
      </c>
      <c r="R80" s="25">
        <v>67</v>
      </c>
      <c r="S80" s="27">
        <v>0</v>
      </c>
      <c r="T80" s="27">
        <v>5</v>
      </c>
      <c r="U80" s="27">
        <v>100</v>
      </c>
      <c r="V80" s="27">
        <v>100</v>
      </c>
      <c r="W80" s="25">
        <v>1</v>
      </c>
      <c r="X80" s="25">
        <v>0</v>
      </c>
      <c r="Y80" s="25">
        <v>0</v>
      </c>
      <c r="Z80" s="28">
        <v>0</v>
      </c>
    </row>
    <row r="81" spans="1:26" s="1" customFormat="1" ht="12.75">
      <c r="A81" s="24" t="s">
        <v>39</v>
      </c>
      <c r="B81" s="23">
        <v>781</v>
      </c>
      <c r="C81" s="25" t="s">
        <v>36</v>
      </c>
      <c r="D81" s="26" t="s">
        <v>9</v>
      </c>
      <c r="E81" s="26" t="s">
        <v>9</v>
      </c>
      <c r="F81" s="27">
        <v>0</v>
      </c>
      <c r="G81" s="27">
        <v>0</v>
      </c>
      <c r="H81" s="27">
        <v>0</v>
      </c>
      <c r="I81" s="27">
        <v>0</v>
      </c>
      <c r="J81" s="25">
        <v>65</v>
      </c>
      <c r="K81" s="25">
        <v>67</v>
      </c>
      <c r="L81" s="25">
        <v>70</v>
      </c>
      <c r="M81" s="27">
        <v>71</v>
      </c>
      <c r="N81" s="27">
        <v>71</v>
      </c>
      <c r="O81" s="27">
        <v>71</v>
      </c>
      <c r="P81" s="25">
        <v>100</v>
      </c>
      <c r="Q81" s="25">
        <v>72</v>
      </c>
      <c r="R81" s="25">
        <v>67</v>
      </c>
      <c r="S81" s="27">
        <v>0</v>
      </c>
      <c r="T81" s="27">
        <v>5</v>
      </c>
      <c r="U81" s="27">
        <v>100</v>
      </c>
      <c r="V81" s="27">
        <v>100</v>
      </c>
      <c r="W81" s="25">
        <v>1</v>
      </c>
      <c r="X81" s="25">
        <v>0</v>
      </c>
      <c r="Y81" s="25">
        <v>0</v>
      </c>
      <c r="Z81" s="28">
        <v>0</v>
      </c>
    </row>
    <row r="82" spans="1:26" s="1" customFormat="1" ht="12.75">
      <c r="A82" s="24"/>
      <c r="B82" s="23"/>
      <c r="C82" s="23"/>
      <c r="D82" s="21"/>
      <c r="E82" s="21"/>
      <c r="F82" s="24"/>
      <c r="G82" s="24"/>
      <c r="H82" s="24"/>
      <c r="I82" s="24"/>
      <c r="J82" s="23"/>
      <c r="K82" s="23"/>
      <c r="L82" s="23"/>
      <c r="M82" s="24"/>
      <c r="N82" s="24"/>
      <c r="O82" s="24"/>
      <c r="P82" s="23"/>
      <c r="Q82" s="25"/>
      <c r="R82" s="25"/>
      <c r="S82" s="27"/>
      <c r="T82" s="27"/>
      <c r="U82" s="27"/>
      <c r="V82" s="27"/>
      <c r="W82" s="25"/>
      <c r="X82" s="25"/>
      <c r="Y82" s="25"/>
      <c r="Z82" s="28"/>
    </row>
    <row r="83" spans="1:26" s="1" customFormat="1" ht="12.75">
      <c r="A83" s="24" t="s">
        <v>40</v>
      </c>
      <c r="B83" s="23">
        <v>763</v>
      </c>
      <c r="C83" s="25" t="s">
        <v>36</v>
      </c>
      <c r="D83" s="21" t="s">
        <v>9</v>
      </c>
      <c r="E83" s="21" t="s">
        <v>9</v>
      </c>
      <c r="F83" s="24">
        <v>5</v>
      </c>
      <c r="G83" s="24">
        <v>5</v>
      </c>
      <c r="H83" s="24">
        <v>5</v>
      </c>
      <c r="I83" s="24">
        <v>3</v>
      </c>
      <c r="J83" s="23">
        <v>86</v>
      </c>
      <c r="K83" s="23">
        <v>89</v>
      </c>
      <c r="L83" s="23">
        <v>92</v>
      </c>
      <c r="M83" s="24">
        <v>100</v>
      </c>
      <c r="N83" s="24">
        <v>100</v>
      </c>
      <c r="O83" s="24">
        <v>100</v>
      </c>
      <c r="P83" s="23">
        <v>59</v>
      </c>
      <c r="Q83" s="25">
        <v>72</v>
      </c>
      <c r="R83" s="25">
        <v>93</v>
      </c>
      <c r="S83" s="27">
        <v>0</v>
      </c>
      <c r="T83" s="27">
        <v>5</v>
      </c>
      <c r="U83" s="27">
        <v>43</v>
      </c>
      <c r="V83" s="27">
        <v>0</v>
      </c>
      <c r="W83" s="25">
        <v>1</v>
      </c>
      <c r="X83" s="25">
        <v>0</v>
      </c>
      <c r="Y83" s="25">
        <v>0</v>
      </c>
      <c r="Z83" s="28">
        <v>0</v>
      </c>
    </row>
    <row r="84" spans="1:26" s="1" customFormat="1" ht="12.75">
      <c r="A84" s="24" t="s">
        <v>41</v>
      </c>
      <c r="B84" s="23">
        <v>771</v>
      </c>
      <c r="C84" s="25" t="s">
        <v>36</v>
      </c>
      <c r="D84" s="21" t="s">
        <v>9</v>
      </c>
      <c r="E84" s="21" t="s">
        <v>9</v>
      </c>
      <c r="F84" s="24">
        <v>0</v>
      </c>
      <c r="G84" s="24">
        <v>0</v>
      </c>
      <c r="H84" s="24">
        <v>0</v>
      </c>
      <c r="I84" s="24">
        <v>0</v>
      </c>
      <c r="J84" s="23">
        <v>89</v>
      </c>
      <c r="K84" s="23">
        <v>92</v>
      </c>
      <c r="L84" s="23">
        <v>94</v>
      </c>
      <c r="M84" s="24">
        <v>100</v>
      </c>
      <c r="N84" s="24">
        <v>100</v>
      </c>
      <c r="O84" s="24">
        <v>100</v>
      </c>
      <c r="P84" s="23">
        <v>60</v>
      </c>
      <c r="Q84" s="25">
        <v>72</v>
      </c>
      <c r="R84" s="25">
        <v>93</v>
      </c>
      <c r="S84" s="27">
        <v>0</v>
      </c>
      <c r="T84" s="27">
        <v>5</v>
      </c>
      <c r="U84" s="27">
        <v>43</v>
      </c>
      <c r="V84" s="27">
        <v>0</v>
      </c>
      <c r="W84" s="25">
        <v>1</v>
      </c>
      <c r="X84" s="25">
        <v>0</v>
      </c>
      <c r="Y84" s="25">
        <v>0</v>
      </c>
      <c r="Z84" s="28">
        <v>0</v>
      </c>
    </row>
    <row r="85" spans="1:26" s="1" customFormat="1" ht="12.75">
      <c r="A85" s="24" t="s">
        <v>42</v>
      </c>
      <c r="B85" s="23">
        <v>754</v>
      </c>
      <c r="C85" s="25" t="s">
        <v>36</v>
      </c>
      <c r="D85" s="21" t="s">
        <v>9</v>
      </c>
      <c r="E85" s="21" t="s">
        <v>9</v>
      </c>
      <c r="F85" s="24">
        <v>5</v>
      </c>
      <c r="G85" s="24">
        <v>5</v>
      </c>
      <c r="H85" s="24">
        <v>5</v>
      </c>
      <c r="I85" s="24">
        <v>3</v>
      </c>
      <c r="J85" s="23">
        <v>85</v>
      </c>
      <c r="K85" s="23">
        <v>87</v>
      </c>
      <c r="L85" s="23">
        <v>90</v>
      </c>
      <c r="M85" s="24">
        <v>99</v>
      </c>
      <c r="N85" s="24">
        <v>99</v>
      </c>
      <c r="O85" s="24">
        <v>99</v>
      </c>
      <c r="P85" s="23">
        <v>59</v>
      </c>
      <c r="Q85" s="25">
        <v>72</v>
      </c>
      <c r="R85" s="25">
        <v>92</v>
      </c>
      <c r="S85" s="27">
        <v>0</v>
      </c>
      <c r="T85" s="27">
        <v>5</v>
      </c>
      <c r="U85" s="27">
        <v>42</v>
      </c>
      <c r="V85" s="27">
        <v>0</v>
      </c>
      <c r="W85" s="25">
        <v>1</v>
      </c>
      <c r="X85" s="25">
        <v>0</v>
      </c>
      <c r="Y85" s="25">
        <v>0</v>
      </c>
      <c r="Z85" s="28">
        <v>0</v>
      </c>
    </row>
    <row r="86" spans="1:26" s="1" customFormat="1" ht="12.75">
      <c r="A86" s="24" t="s">
        <v>43</v>
      </c>
      <c r="B86" s="23">
        <v>761</v>
      </c>
      <c r="C86" s="25" t="s">
        <v>36</v>
      </c>
      <c r="D86" s="21" t="s">
        <v>9</v>
      </c>
      <c r="E86" s="21" t="s">
        <v>9</v>
      </c>
      <c r="F86" s="24">
        <v>0</v>
      </c>
      <c r="G86" s="24">
        <v>0</v>
      </c>
      <c r="H86" s="24">
        <v>0</v>
      </c>
      <c r="I86" s="24">
        <v>0</v>
      </c>
      <c r="J86" s="23">
        <v>87</v>
      </c>
      <c r="K86" s="23">
        <v>90</v>
      </c>
      <c r="L86" s="23">
        <v>93</v>
      </c>
      <c r="M86" s="24">
        <v>99</v>
      </c>
      <c r="N86" s="24">
        <v>99</v>
      </c>
      <c r="O86" s="24">
        <v>99</v>
      </c>
      <c r="P86" s="23">
        <v>59</v>
      </c>
      <c r="Q86" s="25">
        <v>72</v>
      </c>
      <c r="R86" s="25">
        <v>92</v>
      </c>
      <c r="S86" s="27">
        <v>0</v>
      </c>
      <c r="T86" s="27">
        <v>5</v>
      </c>
      <c r="U86" s="27">
        <v>42</v>
      </c>
      <c r="V86" s="27">
        <v>0</v>
      </c>
      <c r="W86" s="25">
        <v>1</v>
      </c>
      <c r="X86" s="25">
        <v>0</v>
      </c>
      <c r="Y86" s="25">
        <v>0</v>
      </c>
      <c r="Z86" s="28">
        <v>0</v>
      </c>
    </row>
    <row r="87" spans="1:26" s="1" customFormat="1" ht="12.75">
      <c r="A87" s="24" t="s">
        <v>44</v>
      </c>
      <c r="B87" s="23">
        <v>741</v>
      </c>
      <c r="C87" s="25" t="s">
        <v>36</v>
      </c>
      <c r="D87" s="21" t="s">
        <v>9</v>
      </c>
      <c r="E87" s="21" t="s">
        <v>9</v>
      </c>
      <c r="F87" s="24">
        <v>5</v>
      </c>
      <c r="G87" s="24">
        <v>5</v>
      </c>
      <c r="H87" s="24">
        <v>5</v>
      </c>
      <c r="I87" s="24">
        <v>3</v>
      </c>
      <c r="J87" s="23">
        <v>82</v>
      </c>
      <c r="K87" s="23">
        <v>85</v>
      </c>
      <c r="L87" s="23">
        <v>88</v>
      </c>
      <c r="M87" s="24">
        <v>98</v>
      </c>
      <c r="N87" s="24">
        <v>98</v>
      </c>
      <c r="O87" s="24">
        <v>98</v>
      </c>
      <c r="P87" s="23">
        <v>58</v>
      </c>
      <c r="Q87" s="25">
        <v>72</v>
      </c>
      <c r="R87" s="25">
        <v>90</v>
      </c>
      <c r="S87" s="27">
        <v>0</v>
      </c>
      <c r="T87" s="27">
        <v>5</v>
      </c>
      <c r="U87" s="27">
        <v>41</v>
      </c>
      <c r="V87" s="27">
        <v>0</v>
      </c>
      <c r="W87" s="25">
        <v>1</v>
      </c>
      <c r="X87" s="25">
        <v>0</v>
      </c>
      <c r="Y87" s="25">
        <v>0</v>
      </c>
      <c r="Z87" s="28">
        <v>0</v>
      </c>
    </row>
    <row r="88" spans="1:26" s="1" customFormat="1" ht="12.75">
      <c r="A88" s="24" t="s">
        <v>45</v>
      </c>
      <c r="B88" s="23">
        <v>748</v>
      </c>
      <c r="C88" s="25" t="s">
        <v>36</v>
      </c>
      <c r="D88" s="21" t="s">
        <v>9</v>
      </c>
      <c r="E88" s="21" t="s">
        <v>9</v>
      </c>
      <c r="F88" s="24">
        <v>0</v>
      </c>
      <c r="G88" s="24">
        <v>0</v>
      </c>
      <c r="H88" s="24">
        <v>0</v>
      </c>
      <c r="I88" s="24">
        <v>0</v>
      </c>
      <c r="J88" s="23">
        <v>85</v>
      </c>
      <c r="K88" s="23">
        <v>87</v>
      </c>
      <c r="L88" s="23">
        <v>90</v>
      </c>
      <c r="M88" s="24">
        <v>98</v>
      </c>
      <c r="N88" s="24">
        <v>98</v>
      </c>
      <c r="O88" s="24">
        <v>98</v>
      </c>
      <c r="P88" s="23">
        <v>58</v>
      </c>
      <c r="Q88" s="25">
        <v>72</v>
      </c>
      <c r="R88" s="25">
        <v>90</v>
      </c>
      <c r="S88" s="27">
        <v>0</v>
      </c>
      <c r="T88" s="27">
        <v>5</v>
      </c>
      <c r="U88" s="27">
        <v>41</v>
      </c>
      <c r="V88" s="27">
        <v>0</v>
      </c>
      <c r="W88" s="25">
        <v>1</v>
      </c>
      <c r="X88" s="25">
        <v>0</v>
      </c>
      <c r="Y88" s="25">
        <v>0</v>
      </c>
      <c r="Z88" s="28">
        <v>0</v>
      </c>
    </row>
    <row r="89" spans="1:26" s="1" customFormat="1" ht="12.75">
      <c r="A89" s="24" t="s">
        <v>46</v>
      </c>
      <c r="B89" s="23">
        <v>731</v>
      </c>
      <c r="C89" s="25" t="s">
        <v>36</v>
      </c>
      <c r="D89" s="21" t="s">
        <v>9</v>
      </c>
      <c r="E89" s="21" t="s">
        <v>9</v>
      </c>
      <c r="F89" s="24">
        <v>5</v>
      </c>
      <c r="G89" s="24">
        <v>5</v>
      </c>
      <c r="H89" s="24">
        <v>5</v>
      </c>
      <c r="I89" s="24">
        <v>3</v>
      </c>
      <c r="J89" s="23">
        <v>80</v>
      </c>
      <c r="K89" s="23">
        <v>83</v>
      </c>
      <c r="L89" s="23">
        <v>86</v>
      </c>
      <c r="M89" s="24">
        <v>97</v>
      </c>
      <c r="N89" s="24">
        <v>97</v>
      </c>
      <c r="O89" s="24">
        <v>97</v>
      </c>
      <c r="P89" s="23">
        <v>57</v>
      </c>
      <c r="Q89" s="25">
        <v>72</v>
      </c>
      <c r="R89" s="25">
        <v>89</v>
      </c>
      <c r="S89" s="27">
        <v>0</v>
      </c>
      <c r="T89" s="27">
        <v>5</v>
      </c>
      <c r="U89" s="27">
        <v>40</v>
      </c>
      <c r="V89" s="27">
        <v>0</v>
      </c>
      <c r="W89" s="25">
        <v>1</v>
      </c>
      <c r="X89" s="25">
        <v>0</v>
      </c>
      <c r="Y89" s="25">
        <v>0</v>
      </c>
      <c r="Z89" s="28">
        <v>0</v>
      </c>
    </row>
    <row r="90" spans="1:26" s="1" customFormat="1" ht="12.75">
      <c r="A90" s="24" t="s">
        <v>47</v>
      </c>
      <c r="B90" s="23">
        <v>738</v>
      </c>
      <c r="C90" s="25" t="s">
        <v>36</v>
      </c>
      <c r="D90" s="21" t="s">
        <v>9</v>
      </c>
      <c r="E90" s="21" t="s">
        <v>9</v>
      </c>
      <c r="F90" s="24">
        <v>0</v>
      </c>
      <c r="G90" s="24">
        <v>0</v>
      </c>
      <c r="H90" s="24">
        <v>0</v>
      </c>
      <c r="I90" s="24">
        <v>0</v>
      </c>
      <c r="J90" s="23">
        <v>83</v>
      </c>
      <c r="K90" s="23">
        <v>85</v>
      </c>
      <c r="L90" s="23">
        <v>88</v>
      </c>
      <c r="M90" s="24">
        <v>97</v>
      </c>
      <c r="N90" s="24">
        <v>97</v>
      </c>
      <c r="O90" s="24">
        <v>97</v>
      </c>
      <c r="P90" s="23">
        <v>58</v>
      </c>
      <c r="Q90" s="25">
        <v>72</v>
      </c>
      <c r="R90" s="25">
        <v>89</v>
      </c>
      <c r="S90" s="27">
        <v>0</v>
      </c>
      <c r="T90" s="27">
        <v>5</v>
      </c>
      <c r="U90" s="27">
        <v>40</v>
      </c>
      <c r="V90" s="27">
        <v>0</v>
      </c>
      <c r="W90" s="25">
        <v>1</v>
      </c>
      <c r="X90" s="25">
        <v>0</v>
      </c>
      <c r="Y90" s="25">
        <v>0</v>
      </c>
      <c r="Z90" s="28">
        <v>0</v>
      </c>
    </row>
    <row r="91" spans="1:26" s="1" customFormat="1" ht="12.75">
      <c r="A91" s="24" t="s">
        <v>48</v>
      </c>
      <c r="B91" s="23">
        <v>721</v>
      </c>
      <c r="C91" s="25" t="s">
        <v>36</v>
      </c>
      <c r="D91" s="21" t="s">
        <v>9</v>
      </c>
      <c r="E91" s="21" t="s">
        <v>9</v>
      </c>
      <c r="F91" s="24">
        <v>5</v>
      </c>
      <c r="G91" s="24">
        <v>5</v>
      </c>
      <c r="H91" s="24">
        <v>5</v>
      </c>
      <c r="I91" s="24">
        <v>3</v>
      </c>
      <c r="J91" s="23">
        <v>79</v>
      </c>
      <c r="K91" s="23">
        <v>81</v>
      </c>
      <c r="L91" s="23">
        <v>84</v>
      </c>
      <c r="M91" s="24">
        <v>96</v>
      </c>
      <c r="N91" s="24">
        <v>96</v>
      </c>
      <c r="O91" s="24">
        <v>96</v>
      </c>
      <c r="P91" s="23">
        <v>57</v>
      </c>
      <c r="Q91" s="25">
        <v>72</v>
      </c>
      <c r="R91" s="25">
        <v>88</v>
      </c>
      <c r="S91" s="27">
        <v>0</v>
      </c>
      <c r="T91" s="27">
        <v>5</v>
      </c>
      <c r="U91" s="27">
        <v>39</v>
      </c>
      <c r="V91" s="27">
        <v>0</v>
      </c>
      <c r="W91" s="25">
        <v>1</v>
      </c>
      <c r="X91" s="25">
        <v>0</v>
      </c>
      <c r="Y91" s="25">
        <v>0</v>
      </c>
      <c r="Z91" s="28">
        <v>0</v>
      </c>
    </row>
    <row r="92" spans="1:26" s="1" customFormat="1" ht="12.75">
      <c r="A92" s="24" t="s">
        <v>49</v>
      </c>
      <c r="B92" s="23">
        <v>729</v>
      </c>
      <c r="C92" s="25" t="s">
        <v>36</v>
      </c>
      <c r="D92" s="21" t="s">
        <v>9</v>
      </c>
      <c r="E92" s="21" t="s">
        <v>9</v>
      </c>
      <c r="F92" s="24">
        <v>0</v>
      </c>
      <c r="G92" s="24">
        <v>0</v>
      </c>
      <c r="H92" s="24">
        <v>0</v>
      </c>
      <c r="I92" s="24">
        <v>0</v>
      </c>
      <c r="J92" s="23">
        <v>81</v>
      </c>
      <c r="K92" s="23">
        <v>84</v>
      </c>
      <c r="L92" s="23">
        <v>87</v>
      </c>
      <c r="M92" s="24">
        <v>96</v>
      </c>
      <c r="N92" s="24">
        <v>96</v>
      </c>
      <c r="O92" s="24">
        <v>96</v>
      </c>
      <c r="P92" s="23">
        <v>57</v>
      </c>
      <c r="Q92" s="25">
        <v>72</v>
      </c>
      <c r="R92" s="25">
        <v>88</v>
      </c>
      <c r="S92" s="27">
        <v>0</v>
      </c>
      <c r="T92" s="27">
        <v>5</v>
      </c>
      <c r="U92" s="27">
        <v>39</v>
      </c>
      <c r="V92" s="27">
        <v>0</v>
      </c>
      <c r="W92" s="25">
        <v>1</v>
      </c>
      <c r="X92" s="25">
        <v>0</v>
      </c>
      <c r="Y92" s="25">
        <v>0</v>
      </c>
      <c r="Z92" s="28">
        <v>0</v>
      </c>
    </row>
    <row r="93" spans="1:26" s="1" customFormat="1" ht="12.75">
      <c r="A93" s="24" t="s">
        <v>50</v>
      </c>
      <c r="B93" s="23">
        <v>713</v>
      </c>
      <c r="C93" s="25" t="s">
        <v>36</v>
      </c>
      <c r="D93" s="21" t="s">
        <v>9</v>
      </c>
      <c r="E93" s="21" t="s">
        <v>9</v>
      </c>
      <c r="F93" s="24">
        <v>5</v>
      </c>
      <c r="G93" s="24">
        <v>5</v>
      </c>
      <c r="H93" s="24">
        <v>5</v>
      </c>
      <c r="I93" s="24">
        <v>3</v>
      </c>
      <c r="J93" s="23">
        <v>77</v>
      </c>
      <c r="K93" s="23">
        <v>80</v>
      </c>
      <c r="L93" s="23">
        <v>83</v>
      </c>
      <c r="M93" s="24">
        <v>95</v>
      </c>
      <c r="N93" s="24">
        <v>95</v>
      </c>
      <c r="O93" s="24">
        <v>95</v>
      </c>
      <c r="P93" s="23">
        <v>56</v>
      </c>
      <c r="Q93" s="25">
        <v>72</v>
      </c>
      <c r="R93" s="25">
        <v>87</v>
      </c>
      <c r="S93" s="27">
        <v>0</v>
      </c>
      <c r="T93" s="27">
        <v>5</v>
      </c>
      <c r="U93" s="27">
        <v>39</v>
      </c>
      <c r="V93" s="27">
        <v>0</v>
      </c>
      <c r="W93" s="25">
        <v>1</v>
      </c>
      <c r="X93" s="25">
        <v>0</v>
      </c>
      <c r="Y93" s="25">
        <v>0</v>
      </c>
      <c r="Z93" s="28">
        <v>0</v>
      </c>
    </row>
    <row r="94" spans="1:26" s="1" customFormat="1" ht="12.75">
      <c r="A94" s="24" t="s">
        <v>51</v>
      </c>
      <c r="B94" s="23">
        <v>720</v>
      </c>
      <c r="C94" s="25" t="s">
        <v>36</v>
      </c>
      <c r="D94" s="21" t="s">
        <v>9</v>
      </c>
      <c r="E94" s="21" t="s">
        <v>9</v>
      </c>
      <c r="F94" s="24">
        <v>0</v>
      </c>
      <c r="G94" s="24">
        <v>0</v>
      </c>
      <c r="H94" s="24">
        <v>0</v>
      </c>
      <c r="I94" s="24">
        <v>0</v>
      </c>
      <c r="J94" s="23">
        <v>80</v>
      </c>
      <c r="K94" s="23">
        <v>82</v>
      </c>
      <c r="L94" s="23">
        <v>85</v>
      </c>
      <c r="M94" s="24">
        <v>95</v>
      </c>
      <c r="N94" s="24">
        <v>95</v>
      </c>
      <c r="O94" s="24">
        <v>95</v>
      </c>
      <c r="P94" s="23">
        <v>56</v>
      </c>
      <c r="Q94" s="25">
        <v>72</v>
      </c>
      <c r="R94" s="25">
        <v>87</v>
      </c>
      <c r="S94" s="27">
        <v>0</v>
      </c>
      <c r="T94" s="27">
        <v>5</v>
      </c>
      <c r="U94" s="27">
        <v>39</v>
      </c>
      <c r="V94" s="27">
        <v>0</v>
      </c>
      <c r="W94" s="25">
        <v>1</v>
      </c>
      <c r="X94" s="25">
        <v>0</v>
      </c>
      <c r="Y94" s="25">
        <v>0</v>
      </c>
      <c r="Z94" s="28">
        <v>0</v>
      </c>
    </row>
    <row r="95" spans="1:26" s="1" customFormat="1" ht="12.75">
      <c r="A95" s="24" t="s">
        <v>52</v>
      </c>
      <c r="B95" s="23">
        <v>691</v>
      </c>
      <c r="C95" s="25" t="s">
        <v>36</v>
      </c>
      <c r="D95" s="21" t="s">
        <v>9</v>
      </c>
      <c r="E95" s="21" t="s">
        <v>9</v>
      </c>
      <c r="F95" s="24">
        <v>5</v>
      </c>
      <c r="G95" s="24">
        <v>5</v>
      </c>
      <c r="H95" s="24">
        <v>5</v>
      </c>
      <c r="I95" s="24">
        <v>3</v>
      </c>
      <c r="J95" s="23">
        <v>74</v>
      </c>
      <c r="K95" s="23">
        <v>76</v>
      </c>
      <c r="L95" s="23">
        <v>79</v>
      </c>
      <c r="M95" s="24">
        <v>92</v>
      </c>
      <c r="N95" s="24">
        <v>92</v>
      </c>
      <c r="O95" s="24">
        <v>92</v>
      </c>
      <c r="P95" s="23">
        <v>54</v>
      </c>
      <c r="Q95" s="25">
        <v>72</v>
      </c>
      <c r="R95" s="25">
        <v>86</v>
      </c>
      <c r="S95" s="27">
        <v>0</v>
      </c>
      <c r="T95" s="27">
        <v>5</v>
      </c>
      <c r="U95" s="27">
        <v>37</v>
      </c>
      <c r="V95" s="27">
        <v>0</v>
      </c>
      <c r="W95" s="25">
        <v>1</v>
      </c>
      <c r="X95" s="25">
        <v>0</v>
      </c>
      <c r="Y95" s="25">
        <v>0</v>
      </c>
      <c r="Z95" s="28">
        <v>0</v>
      </c>
    </row>
    <row r="96" spans="1:26" s="1" customFormat="1" ht="12.75">
      <c r="A96" s="24" t="s">
        <v>53</v>
      </c>
      <c r="B96" s="23">
        <v>698</v>
      </c>
      <c r="C96" s="25" t="s">
        <v>36</v>
      </c>
      <c r="D96" s="21" t="s">
        <v>9</v>
      </c>
      <c r="E96" s="21" t="s">
        <v>9</v>
      </c>
      <c r="F96" s="24">
        <v>0</v>
      </c>
      <c r="G96" s="24">
        <v>0</v>
      </c>
      <c r="H96" s="24">
        <v>0</v>
      </c>
      <c r="I96" s="24">
        <v>0</v>
      </c>
      <c r="J96" s="23">
        <v>76</v>
      </c>
      <c r="K96" s="23">
        <v>79</v>
      </c>
      <c r="L96" s="23">
        <v>82</v>
      </c>
      <c r="M96" s="24">
        <v>92</v>
      </c>
      <c r="N96" s="24">
        <v>92</v>
      </c>
      <c r="O96" s="24">
        <v>92</v>
      </c>
      <c r="P96" s="23">
        <v>54</v>
      </c>
      <c r="Q96" s="25">
        <v>72</v>
      </c>
      <c r="R96" s="25">
        <v>86</v>
      </c>
      <c r="S96" s="27">
        <v>0</v>
      </c>
      <c r="T96" s="27">
        <v>5</v>
      </c>
      <c r="U96" s="27">
        <v>37</v>
      </c>
      <c r="V96" s="27">
        <v>0</v>
      </c>
      <c r="W96" s="25">
        <v>1</v>
      </c>
      <c r="X96" s="25">
        <v>0</v>
      </c>
      <c r="Y96" s="25">
        <v>0</v>
      </c>
      <c r="Z96" s="28">
        <v>0</v>
      </c>
    </row>
    <row r="97" spans="1:26" s="1" customFormat="1" ht="12.75">
      <c r="A97" s="24" t="s">
        <v>54</v>
      </c>
      <c r="B97" s="23">
        <v>657</v>
      </c>
      <c r="C97" s="25" t="s">
        <v>36</v>
      </c>
      <c r="D97" s="21" t="s">
        <v>9</v>
      </c>
      <c r="E97" s="21" t="s">
        <v>9</v>
      </c>
      <c r="F97" s="24">
        <v>5</v>
      </c>
      <c r="G97" s="24">
        <v>5</v>
      </c>
      <c r="H97" s="24">
        <v>5</v>
      </c>
      <c r="I97" s="24">
        <v>3</v>
      </c>
      <c r="J97" s="23">
        <v>70</v>
      </c>
      <c r="K97" s="23">
        <v>72</v>
      </c>
      <c r="L97" s="23">
        <v>75</v>
      </c>
      <c r="M97" s="24">
        <v>87</v>
      </c>
      <c r="N97" s="24">
        <v>87</v>
      </c>
      <c r="O97" s="24">
        <v>87</v>
      </c>
      <c r="P97" s="23">
        <v>51</v>
      </c>
      <c r="Q97" s="25">
        <v>72</v>
      </c>
      <c r="R97" s="25">
        <v>81</v>
      </c>
      <c r="S97" s="27">
        <v>0</v>
      </c>
      <c r="T97" s="27">
        <v>5</v>
      </c>
      <c r="U97" s="27">
        <v>35</v>
      </c>
      <c r="V97" s="27">
        <v>0</v>
      </c>
      <c r="W97" s="25">
        <v>1</v>
      </c>
      <c r="X97" s="25">
        <v>0</v>
      </c>
      <c r="Y97" s="25">
        <v>0</v>
      </c>
      <c r="Z97" s="28">
        <v>0</v>
      </c>
    </row>
    <row r="98" spans="1:26" s="1" customFormat="1" ht="12.75">
      <c r="A98" s="24" t="s">
        <v>55</v>
      </c>
      <c r="B98" s="23">
        <v>664</v>
      </c>
      <c r="C98" s="25" t="s">
        <v>36</v>
      </c>
      <c r="D98" s="21" t="s">
        <v>9</v>
      </c>
      <c r="E98" s="21" t="s">
        <v>9</v>
      </c>
      <c r="F98" s="24">
        <v>0</v>
      </c>
      <c r="G98" s="24">
        <v>0</v>
      </c>
      <c r="H98" s="24">
        <v>0</v>
      </c>
      <c r="I98" s="24">
        <v>0</v>
      </c>
      <c r="J98" s="23">
        <v>72</v>
      </c>
      <c r="K98" s="23">
        <v>75</v>
      </c>
      <c r="L98" s="23">
        <v>78</v>
      </c>
      <c r="M98" s="24">
        <v>87</v>
      </c>
      <c r="N98" s="24">
        <v>87</v>
      </c>
      <c r="O98" s="24">
        <v>87</v>
      </c>
      <c r="P98" s="23">
        <v>51</v>
      </c>
      <c r="Q98" s="25">
        <v>72</v>
      </c>
      <c r="R98" s="25">
        <v>81</v>
      </c>
      <c r="S98" s="27">
        <v>0</v>
      </c>
      <c r="T98" s="27">
        <v>5</v>
      </c>
      <c r="U98" s="27">
        <v>35</v>
      </c>
      <c r="V98" s="27">
        <v>0</v>
      </c>
      <c r="W98" s="25">
        <v>1</v>
      </c>
      <c r="X98" s="25">
        <v>0</v>
      </c>
      <c r="Y98" s="25">
        <v>0</v>
      </c>
      <c r="Z98" s="28">
        <v>0</v>
      </c>
    </row>
    <row r="99" spans="1:26" s="1" customFormat="1" ht="12.75">
      <c r="A99" s="27" t="s">
        <v>56</v>
      </c>
      <c r="B99" s="25">
        <v>570</v>
      </c>
      <c r="C99" s="23" t="s">
        <v>36</v>
      </c>
      <c r="D99" s="26" t="s">
        <v>9</v>
      </c>
      <c r="E99" s="26" t="s">
        <v>9</v>
      </c>
      <c r="F99" s="27">
        <v>5</v>
      </c>
      <c r="G99" s="27">
        <v>5</v>
      </c>
      <c r="H99" s="27">
        <v>5</v>
      </c>
      <c r="I99" s="27">
        <v>3</v>
      </c>
      <c r="J99" s="25">
        <v>62</v>
      </c>
      <c r="K99" s="25">
        <v>65</v>
      </c>
      <c r="L99" s="25">
        <v>68</v>
      </c>
      <c r="M99" s="27">
        <v>71</v>
      </c>
      <c r="N99" s="27">
        <v>71</v>
      </c>
      <c r="O99" s="27">
        <v>71</v>
      </c>
      <c r="P99" s="25">
        <v>43</v>
      </c>
      <c r="Q99" s="25">
        <v>72</v>
      </c>
      <c r="R99" s="25">
        <v>67</v>
      </c>
      <c r="S99" s="27">
        <v>0</v>
      </c>
      <c r="T99" s="27">
        <v>5</v>
      </c>
      <c r="U99" s="27">
        <v>31</v>
      </c>
      <c r="V99" s="27">
        <v>0</v>
      </c>
      <c r="W99" s="25">
        <v>1</v>
      </c>
      <c r="X99" s="25">
        <v>0</v>
      </c>
      <c r="Y99" s="25">
        <v>0</v>
      </c>
      <c r="Z99" s="28">
        <v>0</v>
      </c>
    </row>
    <row r="100" spans="1:26" s="1" customFormat="1" ht="12.75">
      <c r="A100" s="27" t="s">
        <v>57</v>
      </c>
      <c r="B100" s="25">
        <v>576</v>
      </c>
      <c r="C100" s="28" t="s">
        <v>36</v>
      </c>
      <c r="D100" s="29" t="s">
        <v>9</v>
      </c>
      <c r="E100" s="26" t="s">
        <v>9</v>
      </c>
      <c r="F100" s="27">
        <v>0</v>
      </c>
      <c r="G100" s="27">
        <v>0</v>
      </c>
      <c r="H100" s="27">
        <v>0</v>
      </c>
      <c r="I100" s="27">
        <v>0</v>
      </c>
      <c r="J100" s="25">
        <v>65</v>
      </c>
      <c r="K100" s="25">
        <v>67</v>
      </c>
      <c r="L100" s="25">
        <v>70</v>
      </c>
      <c r="M100" s="27">
        <v>71</v>
      </c>
      <c r="N100" s="27">
        <v>71</v>
      </c>
      <c r="O100" s="27">
        <v>71</v>
      </c>
      <c r="P100" s="25">
        <v>43</v>
      </c>
      <c r="Q100" s="25">
        <v>72</v>
      </c>
      <c r="R100" s="25">
        <v>67</v>
      </c>
      <c r="S100" s="27">
        <v>0</v>
      </c>
      <c r="T100" s="27">
        <v>5</v>
      </c>
      <c r="U100" s="27">
        <v>31</v>
      </c>
      <c r="V100" s="27">
        <v>0</v>
      </c>
      <c r="W100" s="25">
        <v>1</v>
      </c>
      <c r="X100" s="25">
        <v>0</v>
      </c>
      <c r="Y100" s="25">
        <v>0</v>
      </c>
      <c r="Z100" s="28">
        <v>0</v>
      </c>
    </row>
  </sheetData>
  <sheetProtection selectLockedCells="1" selectUnlockedCells="1"/>
  <mergeCells count="9">
    <mergeCell ref="C1:D1"/>
    <mergeCell ref="K1:L1"/>
    <mergeCell ref="N1:O1"/>
    <mergeCell ref="C2:D2"/>
    <mergeCell ref="K2:L2"/>
    <mergeCell ref="N2:O2"/>
    <mergeCell ref="C3:D3"/>
    <mergeCell ref="F5:I5"/>
    <mergeCell ref="J5:Z5"/>
  </mergeCells>
  <printOptions/>
  <pageMargins left="1" right="1" top="1.1388888888888888" bottom="1.1388888888888888" header="1" footer="1"/>
  <pageSetup cellComments="atEnd"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1">
      <selection activeCell="B1" sqref="B1"/>
    </sheetView>
  </sheetViews>
  <sheetFormatPr defaultColWidth="7.00390625" defaultRowHeight="12.75"/>
  <cols>
    <col min="1" max="1" width="14.625" style="30" customWidth="1"/>
    <col min="2" max="2" width="17.75390625" style="30" customWidth="1"/>
    <col min="3" max="3" width="11.75390625" style="30" customWidth="1"/>
    <col min="4" max="4" width="7.25390625" style="30" customWidth="1"/>
    <col min="5" max="5" width="8.25390625" style="30" customWidth="1"/>
    <col min="6" max="6" width="9.625" style="30" customWidth="1"/>
    <col min="7" max="7" width="10.625" style="30" customWidth="1"/>
    <col min="8" max="8" width="9.25390625" style="30" customWidth="1"/>
    <col min="9" max="9" width="13.25390625" style="30" customWidth="1"/>
    <col min="10" max="10" width="13.00390625" style="30" customWidth="1"/>
    <col min="11" max="11" width="12.875" style="30" customWidth="1"/>
    <col min="12" max="12" width="11.50390625" style="30" customWidth="1"/>
    <col min="13" max="13" width="11.625" style="30" customWidth="1"/>
    <col min="14" max="16384" width="7.50390625" style="30" customWidth="1"/>
  </cols>
  <sheetData>
    <row r="1" spans="1:10" ht="12">
      <c r="A1" s="31" t="s">
        <v>58</v>
      </c>
      <c r="B1" s="32" t="s">
        <v>57</v>
      </c>
      <c r="C1" s="31" t="s">
        <v>59</v>
      </c>
      <c r="D1" s="31"/>
      <c r="E1" s="33">
        <f>VLOOKUP(selected_castle,range_castles,26,FALSE)</f>
        <v>0</v>
      </c>
      <c r="G1" s="5" t="s">
        <v>1</v>
      </c>
      <c r="H1" s="5" t="s">
        <v>2</v>
      </c>
      <c r="I1" s="5" t="s">
        <v>3</v>
      </c>
      <c r="J1" s="34" t="s">
        <v>5</v>
      </c>
    </row>
    <row r="2" spans="1:13" ht="12.75">
      <c r="A2" s="35" t="s">
        <v>21</v>
      </c>
      <c r="B2" s="36">
        <f>VLOOKUP(selected_castle,range_castles,13,FALSE)</f>
        <v>71</v>
      </c>
      <c r="C2" s="35" t="s">
        <v>60</v>
      </c>
      <c r="D2" s="35"/>
      <c r="E2" s="37">
        <f>VLOOKUP(selected_castle,range_castles,21,FALSE)</f>
        <v>31</v>
      </c>
      <c r="G2" s="38">
        <f>(1+IF(premiumpack="yes",0.1,0)+IF(goldpack_stone="yes",0.25,0)+IF(silverpack_stone="yes",0.1,0))*(1+castle_stonestars*0.05)*IF(speedday="yes",2,1)</f>
        <v>1</v>
      </c>
      <c r="H2" s="38">
        <f>(1+IF(premiumpack="yes",0.1,0)+IF(goldpack_wood="yes",0.25,0)+IF(silverpack_wood="yes",0.1,0))*(1+castle_woodstars*0.05)*IF(speedday="yes",2,1)</f>
        <v>1</v>
      </c>
      <c r="I2" s="38">
        <f>(1+IF(premiumpack="yes",0.1,0)+IF(goldpack_ore="yes",0.25,0)+IF(silverpack_ore="yes",0.1,0))*(1+castle_orestars*0.05)*IF(speedday="yes",2,1)</f>
        <v>1</v>
      </c>
      <c r="J2" s="38">
        <f>(1-IF(premiumpack="yes",0.25,0)-IF(goldpack_troops="yes",0.25,0)-IF(silverpack_troops="yes",0.1,0))/IF(speedday="yes",2,1)</f>
        <v>1</v>
      </c>
      <c r="K2" s="17" t="s">
        <v>61</v>
      </c>
      <c r="M2" s="6"/>
    </row>
    <row r="3" spans="1:13" ht="12.75">
      <c r="A3" s="35" t="s">
        <v>22</v>
      </c>
      <c r="B3" s="36">
        <f>VLOOKUP(selected_castle,range_castles,14,FALSE)</f>
        <v>71</v>
      </c>
      <c r="C3" s="35" t="s">
        <v>62</v>
      </c>
      <c r="D3" s="35"/>
      <c r="E3" s="39">
        <f>VLOOKUP(selected_castle,range_castles,22,FALSE)</f>
        <v>0</v>
      </c>
      <c r="G3" s="40">
        <f>VLOOKUP(selected_castle,range_castles,6,FALSE)</f>
        <v>0</v>
      </c>
      <c r="H3" s="40">
        <f>VLOOKUP(selected_castle,range_castles,7,FALSE)</f>
        <v>0</v>
      </c>
      <c r="I3" s="40">
        <f>VLOOKUP(selected_castle,range_castles,8,FALSE)</f>
        <v>0</v>
      </c>
      <c r="J3" s="7" t="s">
        <v>63</v>
      </c>
      <c r="K3" s="41" t="s">
        <v>64</v>
      </c>
      <c r="M3" s="6"/>
    </row>
    <row r="4" spans="1:13" ht="12.75">
      <c r="A4" s="35" t="s">
        <v>65</v>
      </c>
      <c r="B4" s="42">
        <f>VLOOKUP(selected_castle,range_castles,15,FALSE)</f>
        <v>71</v>
      </c>
      <c r="C4" s="35" t="s">
        <v>31</v>
      </c>
      <c r="D4" s="35"/>
      <c r="E4" s="33">
        <f>VLOOKUP(selected_castle,range_castles,23,FALSE)</f>
        <v>1</v>
      </c>
      <c r="K4" s="43"/>
      <c r="M4" s="6"/>
    </row>
    <row r="5" spans="1:10" ht="12.75">
      <c r="A5" s="35" t="s">
        <v>18</v>
      </c>
      <c r="B5" s="44">
        <f>VLOOKUP(selected_castle,range_castles,10,FALSE)</f>
        <v>65</v>
      </c>
      <c r="C5" s="35" t="s">
        <v>66</v>
      </c>
      <c r="D5" s="35"/>
      <c r="E5" s="33">
        <f>VLOOKUP(selected_castle,range_castles,17,FALSE)</f>
        <v>72</v>
      </c>
      <c r="G5" s="14" t="s">
        <v>67</v>
      </c>
      <c r="H5" s="4" t="s">
        <v>68</v>
      </c>
      <c r="I5" s="5" t="s">
        <v>69</v>
      </c>
      <c r="J5" s="45" t="s">
        <v>70</v>
      </c>
    </row>
    <row r="6" spans="1:12" ht="12.75">
      <c r="A6" s="35" t="s">
        <v>19</v>
      </c>
      <c r="B6" s="42">
        <f>VLOOKUP(selected_castle,range_castles,11,FALSE)</f>
        <v>67</v>
      </c>
      <c r="C6" s="35" t="s">
        <v>32</v>
      </c>
      <c r="D6" s="35"/>
      <c r="E6" s="33">
        <f>VLOOKUP(selected_castle,range_castles,24,FALSE)</f>
        <v>0</v>
      </c>
      <c r="G6" s="46">
        <f>SUM(B2:B9,E1:E9)</f>
        <v>634</v>
      </c>
      <c r="H6" s="40">
        <f>castle_slots_base+ROUNDUP(castle_slots_base/10,0)</f>
        <v>634</v>
      </c>
      <c r="I6" s="37">
        <f>VLOOKUP(selected_castle,range_castles,2,FALSE)</f>
        <v>576</v>
      </c>
      <c r="J6" s="47" t="str">
        <f>VLOOKUP(selected_castle,range_castles,3,FALSE)</f>
        <v>yes</v>
      </c>
      <c r="K6" s="48" t="s">
        <v>71</v>
      </c>
      <c r="L6" s="43"/>
    </row>
    <row r="7" spans="1:12" ht="12.75">
      <c r="A7" s="35" t="s">
        <v>20</v>
      </c>
      <c r="B7" s="42">
        <f>VLOOKUP(selected_castle,range_castles,12,FALSE)</f>
        <v>70</v>
      </c>
      <c r="C7" s="35" t="s">
        <v>27</v>
      </c>
      <c r="D7" s="35"/>
      <c r="E7" s="33">
        <f>VLOOKUP(selected_castle,range_castles,19,FALSE)</f>
        <v>0</v>
      </c>
      <c r="G7" s="6"/>
      <c r="K7" s="43"/>
      <c r="L7" s="6"/>
    </row>
    <row r="8" spans="1:8" ht="12.75">
      <c r="A8" s="49" t="s">
        <v>72</v>
      </c>
      <c r="B8" s="42">
        <f>VLOOKUP(selected_castle,range_castles,16,FALSE)</f>
        <v>43</v>
      </c>
      <c r="C8" s="35" t="s">
        <v>33</v>
      </c>
      <c r="D8" s="35"/>
      <c r="E8" s="33">
        <f>VLOOKUP(selected_castle,range_castles,25,FALSE)</f>
        <v>0</v>
      </c>
      <c r="G8" s="4" t="s">
        <v>16</v>
      </c>
      <c r="H8" s="50" t="str">
        <f>VLOOKUP(selected_castle,range_castles,4,FALSE)</f>
        <v>no</v>
      </c>
    </row>
    <row r="9" spans="1:11" ht="12.75">
      <c r="A9" s="51" t="s">
        <v>26</v>
      </c>
      <c r="B9" s="44">
        <f>VLOOKUP(selected_castle,range_castles,18,FALSE)</f>
        <v>67</v>
      </c>
      <c r="C9" s="49" t="s">
        <v>28</v>
      </c>
      <c r="D9" s="49"/>
      <c r="E9" s="37">
        <f>VLOOKUP(selected_castle,range_castles,20,FALSE)</f>
        <v>5</v>
      </c>
      <c r="G9" s="14" t="s">
        <v>17</v>
      </c>
      <c r="H9" s="7" t="str">
        <f>VLOOKUP(selected_castle,range_castles,5,FALSE)</f>
        <v>no</v>
      </c>
      <c r="K9" s="6"/>
    </row>
    <row r="10" ht="12.75">
      <c r="B10" s="30" t="s">
        <v>37</v>
      </c>
    </row>
    <row r="11" spans="2:13" ht="23.25">
      <c r="B11" s="14" t="s">
        <v>73</v>
      </c>
      <c r="C11" s="14" t="s">
        <v>74</v>
      </c>
      <c r="D11" s="14" t="s">
        <v>75</v>
      </c>
      <c r="E11" s="14" t="s">
        <v>76</v>
      </c>
      <c r="F11" s="14" t="s">
        <v>77</v>
      </c>
      <c r="G11" s="2" t="s">
        <v>78</v>
      </c>
      <c r="H11" s="3" t="s">
        <v>79</v>
      </c>
      <c r="I11" s="5" t="s">
        <v>80</v>
      </c>
      <c r="J11" s="3" t="s">
        <v>81</v>
      </c>
      <c r="K11" s="4" t="s">
        <v>82</v>
      </c>
      <c r="L11" s="35" t="s">
        <v>83</v>
      </c>
      <c r="M11" s="17" t="s">
        <v>84</v>
      </c>
    </row>
    <row r="12" spans="1:13" ht="12.75">
      <c r="A12" s="35" t="s">
        <v>85</v>
      </c>
      <c r="B12" s="52" t="s">
        <v>36</v>
      </c>
      <c r="C12" s="53">
        <f>(IF(B12="yes",troops_lightInfantry_baseTime,0)*60)*troopmultiplier*VLOOKUP(castle_barracks,range_baseBuildTimePercentage,3,FALSE)</f>
        <v>7.2</v>
      </c>
      <c r="D12" s="54">
        <f>IF($C12=0,0,3600/$C12)</f>
        <v>500</v>
      </c>
      <c r="E12" s="55">
        <f>troops_lightInfantry_stonecost*$D12</f>
        <v>9000</v>
      </c>
      <c r="F12" s="55">
        <f>troops_lightInfantry_woodcost*$D12</f>
        <v>11000</v>
      </c>
      <c r="G12" s="55">
        <f>troops_lightInfantry_orecost*$D12</f>
        <v>18000</v>
      </c>
      <c r="H12" s="56">
        <f>IF($C12=0,0,3600*24/$C12)</f>
        <v>12000</v>
      </c>
      <c r="I12" s="57">
        <f>troops_lightInfantry_stonecost*$H12</f>
        <v>216000</v>
      </c>
      <c r="J12" s="58">
        <f>troops_lightInfantry_woodcost*$H12</f>
        <v>264000</v>
      </c>
      <c r="K12" s="59">
        <f>troops_lightInfantry_orecost*$H12</f>
        <v>432000</v>
      </c>
      <c r="L12" s="36">
        <f>IF($B12=0,0,$B2*40)</f>
        <v>2840</v>
      </c>
      <c r="M12" s="60">
        <f>IF($H12=0,0,IF($L12&gt;$H12,CONCATENATE(ROUNDDOWN($L12/$H12,0),"+ days"),TIME(0,0,$L12*$C12)))</f>
        <v>0.23666666666666666</v>
      </c>
    </row>
    <row r="13" spans="1:13" ht="12.75">
      <c r="A13" s="35" t="s">
        <v>86</v>
      </c>
      <c r="B13" s="61" t="s">
        <v>36</v>
      </c>
      <c r="C13" s="62">
        <f>(IF(B13="yes",troops_swordsmen_baseTime,0)*60)*troopmultiplier*VLOOKUP(castle_barracks,range_baseBuildTimePercentage,3,FALSE)</f>
        <v>14.4</v>
      </c>
      <c r="D13" s="56">
        <f>IF($C13=0,0,3600/$C13)</f>
        <v>250</v>
      </c>
      <c r="E13" s="59">
        <f>troops_swordsmen_stonecost*$D13</f>
        <v>9000</v>
      </c>
      <c r="F13" s="59">
        <f>troops_swordsmen_woodcost*$D13</f>
        <v>11000</v>
      </c>
      <c r="G13" s="59">
        <f>troops_swordsmen_orecost*$D13</f>
        <v>18000</v>
      </c>
      <c r="H13" s="56">
        <f>IF($C13=0,0,3600*24/$C13)</f>
        <v>6000</v>
      </c>
      <c r="I13" s="57">
        <f>troops_swordsmen_stonecost*$H13</f>
        <v>216000</v>
      </c>
      <c r="J13" s="58">
        <f>troops_swordsmen_woodcost*$H13</f>
        <v>264000</v>
      </c>
      <c r="K13" s="59">
        <f>troops_swordsmen_orecost*$H13</f>
        <v>432000</v>
      </c>
      <c r="L13" s="36">
        <f>IF($B13=0,0,$B2*40)</f>
        <v>2840</v>
      </c>
      <c r="M13" s="60">
        <f>IF($H13=0,0,IF($L13&gt;$H13,CONCATENATE(ROUNDDOWN($L13/$H13,0),"+ days"),TIME(0,0,$L13*$C13)))</f>
        <v>0.47333333333333333</v>
      </c>
    </row>
    <row r="14" spans="1:13" ht="12.75">
      <c r="A14" s="35" t="s">
        <v>87</v>
      </c>
      <c r="B14" s="61" t="s">
        <v>36</v>
      </c>
      <c r="C14" s="62">
        <f>(IF(B14="yes",troops_axemen_baseTime,0)*60)*troopmultiplier*VLOOKUP(castle_barracks,range_baseBuildTimePercentage,3,FALSE)</f>
        <v>10.8</v>
      </c>
      <c r="D14" s="56">
        <f>IF($C14=0,0,3600/$C14)</f>
        <v>333.3333333333333</v>
      </c>
      <c r="E14" s="59">
        <f>troops_axemen_stonecost*$D14</f>
        <v>23333.333333333332</v>
      </c>
      <c r="F14" s="59">
        <f>troops_axemen_woodcost*$D14</f>
        <v>21000</v>
      </c>
      <c r="G14" s="59">
        <f>troops_axemen_orecost*$D14</f>
        <v>35000</v>
      </c>
      <c r="H14" s="56">
        <f>IF($C14=0,0,3600*24/$C14)</f>
        <v>7999.999999999999</v>
      </c>
      <c r="I14" s="57">
        <f>troops_axemen_stonecost*$H14</f>
        <v>559999.9999999999</v>
      </c>
      <c r="J14" s="58">
        <f>troops_axemen_woodcost*$H14</f>
        <v>503999.99999999994</v>
      </c>
      <c r="K14" s="59">
        <f>troops_axemen_orecost*$H14</f>
        <v>839999.9999999999</v>
      </c>
      <c r="L14" s="36">
        <f>IF($B14=0,0,$B2*40)</f>
        <v>2840</v>
      </c>
      <c r="M14" s="60">
        <f>IF($H14=0,0,IF($L14&gt;$H14,CONCATENATE(ROUNDDOWN($L14/$H14,0),"+ days"),TIME(0,0,$L14*$C14)))</f>
        <v>0.35500000000000004</v>
      </c>
    </row>
    <row r="15" spans="1:13" ht="12.75">
      <c r="A15" s="35" t="s">
        <v>88</v>
      </c>
      <c r="B15" s="61" t="s">
        <v>36</v>
      </c>
      <c r="C15" s="62">
        <f>(IF(B15="yes",troops_archers_baseTime,0)*60)*troopmultiplier*VLOOKUP(castle_barracks,range_baseBuildTimePercentage,3,FALSE)</f>
        <v>16.2</v>
      </c>
      <c r="D15" s="56">
        <f>IF($C15=0,0,3600/$C15)</f>
        <v>222.22222222222223</v>
      </c>
      <c r="E15" s="59">
        <f>troops_archers_stonecost*$D15</f>
        <v>16888.88888888889</v>
      </c>
      <c r="F15" s="59">
        <f>troops_archers_woodcost*$D15</f>
        <v>33777.77777777778</v>
      </c>
      <c r="G15" s="59">
        <f>troops_archers_orecost*$D15</f>
        <v>29555.555555555555</v>
      </c>
      <c r="H15" s="56">
        <f>IF($C15=0,0,3600*24/$C15)</f>
        <v>5333.333333333334</v>
      </c>
      <c r="I15" s="57">
        <f>troops_archers_stonecost*$H15</f>
        <v>405333.3333333334</v>
      </c>
      <c r="J15" s="58">
        <f>troops_archers_woodcost*$H15</f>
        <v>810666.6666666667</v>
      </c>
      <c r="K15" s="59">
        <f>troops_archers_orecost*$H15</f>
        <v>709333.3333333334</v>
      </c>
      <c r="L15" s="36">
        <f>IF($B15=0,0,$B2*40)</f>
        <v>2840</v>
      </c>
      <c r="M15" s="60">
        <f>IF($H15=0,0,IF($L15&gt;$H15,CONCATENATE(ROUNDDOWN($L15/$H15,0),"+ days"),TIME(0,0,$L15*$C15)))</f>
        <v>0.5325</v>
      </c>
    </row>
    <row r="16" spans="1:13" ht="12.75">
      <c r="A16" s="35" t="s">
        <v>89</v>
      </c>
      <c r="B16" s="61" t="s">
        <v>36</v>
      </c>
      <c r="C16" s="62">
        <f>(IF(AND(B16="yes",castle_sanctuary="yes"),troops_knightsTemplar_baseTime,0)*60)*troopmultiplier*VLOOKUP(castle_barracks,range_baseBuildTimePercentage,3,FALSE)</f>
        <v>0</v>
      </c>
      <c r="D16" s="56">
        <f>IF($C16=0,0,3600/$C16)</f>
        <v>0</v>
      </c>
      <c r="E16" s="59">
        <f>troops_knightsTemplar_stonecost*$D16</f>
        <v>0</v>
      </c>
      <c r="F16" s="59">
        <f>troops_knightsTemplar_woodcost*$D16</f>
        <v>0</v>
      </c>
      <c r="G16" s="63">
        <f>troops_knightsTemplar_orecost*$D16</f>
        <v>0</v>
      </c>
      <c r="H16" s="64">
        <f>IF($C16=0,0,3600*24/$C16)</f>
        <v>0</v>
      </c>
      <c r="I16" s="65">
        <f>troops_knightsTemplar_stonecost*$H16</f>
        <v>0</v>
      </c>
      <c r="J16" s="58">
        <f>troops_knightsTemplar_woodcost*$H16</f>
        <v>0</v>
      </c>
      <c r="K16" s="59">
        <f>troops_knightsTemplar_orecost*$H16</f>
        <v>0</v>
      </c>
      <c r="L16" s="42">
        <f>IF($B16=0,0,$B2*40)</f>
        <v>2840</v>
      </c>
      <c r="M16" s="60">
        <f>IF($H16=0,0,IF($L16&gt;$H16,CONCATENATE(ROUNDDOWN($L16/$H16,0),"+ days"),TIME(0,0,$L16*$C16)))</f>
        <v>0</v>
      </c>
    </row>
    <row r="17" spans="1:11" ht="12.75">
      <c r="A17" s="66"/>
      <c r="B17" s="47"/>
      <c r="C17" s="67"/>
      <c r="D17" s="68"/>
      <c r="E17" s="68"/>
      <c r="F17" s="68"/>
      <c r="G17" s="69"/>
      <c r="H17" s="69"/>
      <c r="I17" s="69"/>
      <c r="J17" s="68"/>
      <c r="K17" s="68"/>
    </row>
    <row r="18" spans="1:13" ht="12.75">
      <c r="A18" s="70" t="s">
        <v>90</v>
      </c>
      <c r="B18" s="61" t="s">
        <v>36</v>
      </c>
      <c r="C18" s="62">
        <f>(IF(B18="yes",troops_spies_baseTime,0)*60)*troopmultiplier*VLOOKUP(castle_stables,range_baseBuildTimePercentage,3,FALSE)</f>
        <v>9</v>
      </c>
      <c r="D18" s="54">
        <f>IF($C18=0,0,3600/$C18)</f>
        <v>400</v>
      </c>
      <c r="E18" s="55">
        <f>troops_spies_stonecost*$D18</f>
        <v>38400</v>
      </c>
      <c r="F18" s="55">
        <f>troops_spies_woodcost*$D18</f>
        <v>76800</v>
      </c>
      <c r="G18" s="59">
        <f>troops_spies_orecost*$D18</f>
        <v>67200</v>
      </c>
      <c r="H18" s="56">
        <f>IF($C18=0,0,3600*24/$C18)</f>
        <v>9600</v>
      </c>
      <c r="I18" s="57">
        <f>troops_spies_stonecost*$H18</f>
        <v>921600</v>
      </c>
      <c r="J18" s="69">
        <f>troops_spies_woodcost*$H18</f>
        <v>1843200</v>
      </c>
      <c r="K18" s="55">
        <f>troops_spies_orecost*$H18</f>
        <v>1612800</v>
      </c>
      <c r="L18" s="36">
        <f>IF($B18=0,0,$B3*40)</f>
        <v>2840</v>
      </c>
      <c r="M18" s="60">
        <f>IF($H18=0,0,IF($L18&gt;$H18,CONCATENATE(ROUNDDOWN($L18/$H18,0),"+ days"),TIME(0,0,$L18*$C18)))</f>
        <v>0.29583333333333334</v>
      </c>
    </row>
    <row r="19" spans="1:13" ht="12.75">
      <c r="A19" s="17" t="s">
        <v>91</v>
      </c>
      <c r="B19" s="61" t="s">
        <v>36</v>
      </c>
      <c r="C19" s="62">
        <f>(IF(B19="yes",troops_cavalry_baseTime,0)*60)*troopmultiplier*VLOOKUP(castle_stables,range_baseBuildTimePercentage,3,FALSE)</f>
        <v>21.6</v>
      </c>
      <c r="D19" s="56">
        <f>IF($C19=0,0,3600/$C19)</f>
        <v>166.66666666666666</v>
      </c>
      <c r="E19" s="59">
        <f>troops_cavalry_stonecost*$D19</f>
        <v>38333.33333333333</v>
      </c>
      <c r="F19" s="59">
        <f>troops_cavalry_woodcost*$D19</f>
        <v>34500</v>
      </c>
      <c r="G19" s="59">
        <f>troops_cavalry_orecost*$D19</f>
        <v>57500</v>
      </c>
      <c r="H19" s="56">
        <f>IF($C19=0,0,3600*24/$C19)</f>
        <v>3999.9999999999995</v>
      </c>
      <c r="I19" s="57">
        <f>troops_cavalry_stonecost*$H19</f>
        <v>919999.9999999999</v>
      </c>
      <c r="J19" s="58">
        <f>troops_cavalry_woodcost*$H19</f>
        <v>827999.9999999999</v>
      </c>
      <c r="K19" s="59">
        <f>troops_cavalry_orecost*$H19</f>
        <v>1379999.9999999998</v>
      </c>
      <c r="L19" s="36">
        <f>IF($B19=0,0,$B3*40)</f>
        <v>2840</v>
      </c>
      <c r="M19" s="60">
        <f>IF($H19=0,0,IF($L19&gt;$H19,CONCATENATE(ROUNDDOWN($L19/$H19,0),"+ days"),TIME(0,0,$L19*$C19)))</f>
        <v>0.7100000000000001</v>
      </c>
    </row>
    <row r="20" spans="1:13" ht="12.75">
      <c r="A20" s="17" t="s">
        <v>92</v>
      </c>
      <c r="B20" s="61" t="s">
        <v>36</v>
      </c>
      <c r="C20" s="62">
        <f>(IF(B20="yes",troops_armoredCavalry_baseTime,0)*60)*troopmultiplier*VLOOKUP(castle_stables,range_baseBuildTimePercentage,3,FALSE)</f>
        <v>28.8</v>
      </c>
      <c r="D20" s="56">
        <f>IF($C20=0,0,3600/$C20)</f>
        <v>125</v>
      </c>
      <c r="E20" s="59">
        <f>troops_armoredCavalry_stonecost*$D20</f>
        <v>31500</v>
      </c>
      <c r="F20" s="59">
        <f>troops_armoredCavalry_woodcost*$D20</f>
        <v>38500</v>
      </c>
      <c r="G20" s="63">
        <f>troops_armoredCavalry_orecost*$D20</f>
        <v>63000</v>
      </c>
      <c r="H20" s="64">
        <f>IF($C20=0,0,3600*24/$C20)</f>
        <v>3000</v>
      </c>
      <c r="I20" s="65">
        <f>troops_armoredCavalry_stonecost*$H20</f>
        <v>756000</v>
      </c>
      <c r="J20" s="58">
        <f>troops_armoredCavalry_woodcost*$H20</f>
        <v>924000</v>
      </c>
      <c r="K20" s="59">
        <f>troops_armoredCavalry_orecost*$H20</f>
        <v>1512000</v>
      </c>
      <c r="L20" s="37">
        <f>IF($B20=0,0,$B3*40)</f>
        <v>2840</v>
      </c>
      <c r="M20" s="60">
        <f>IF($H20=0,0,IF($L20&gt;$H20,CONCATENATE(ROUNDDOWN($L20/$H20,0),"+ days"),TIME(0,0,$L20*$C20)))</f>
        <v>0.9466666666666667</v>
      </c>
    </row>
    <row r="21" spans="1:13" ht="12.75">
      <c r="A21" s="17" t="s">
        <v>93</v>
      </c>
      <c r="B21" s="61" t="s">
        <v>36</v>
      </c>
      <c r="C21" s="62">
        <f>(IF(AND(B21="yes",castle_baldur="yes"),troops_paladins_baseTime,0)*60)*troopmultiplier*VLOOKUP(castle_stables,range_baseBuildTimePercentage,3,FALSE)</f>
        <v>0</v>
      </c>
      <c r="D21" s="56">
        <f>IF($C21=0,0,3600/$C21)</f>
        <v>0</v>
      </c>
      <c r="E21" s="59">
        <f>troops_paladins_stonecost*$D21</f>
        <v>0</v>
      </c>
      <c r="F21" s="59">
        <f>troops_paladins_woodcost*$D21</f>
        <v>0</v>
      </c>
      <c r="G21" s="63">
        <f>troops_paladins_orecost*$D21</f>
        <v>0</v>
      </c>
      <c r="H21" s="64">
        <f>IF($C21=0,0,3600*24/$C21)</f>
        <v>0</v>
      </c>
      <c r="I21" s="65">
        <f>troops_paladins_stonecost*$H21</f>
        <v>0</v>
      </c>
      <c r="J21" s="58">
        <f>troops_paladins_woodcost*$H21</f>
        <v>0</v>
      </c>
      <c r="K21" s="59">
        <f>troops_paladins_orecost*$H21</f>
        <v>0</v>
      </c>
      <c r="L21" s="37">
        <f>IF($B21=0,0,$B4*40)</f>
        <v>2840</v>
      </c>
      <c r="M21" s="60">
        <f>IF($H21=0,0,IF($L21&gt;$H21,CONCATENATE(ROUNDDOWN($L21/$H21,0),"+ days"),TIME(0,0,$L21*$C21)))</f>
        <v>0</v>
      </c>
    </row>
    <row r="22" spans="1:11" ht="12.75">
      <c r="A22" s="66"/>
      <c r="B22" s="71"/>
      <c r="C22" s="67"/>
      <c r="D22" s="68"/>
      <c r="E22" s="68"/>
      <c r="F22" s="68"/>
      <c r="G22" s="69"/>
      <c r="H22" s="69"/>
      <c r="I22" s="69"/>
      <c r="J22" s="68"/>
      <c r="K22" s="68"/>
    </row>
    <row r="23" spans="1:13" ht="12.75">
      <c r="A23" s="72" t="s">
        <v>94</v>
      </c>
      <c r="B23" s="32" t="s">
        <v>36</v>
      </c>
      <c r="C23" s="73">
        <f>(IF(B23="yes",troops_rams_baseTime,0)*60)*troopmultiplier*VLOOKUP(castle_catapultWorkshop,range_baseBuildTimePercentage,3,FALSE)</f>
        <v>36</v>
      </c>
      <c r="D23" s="54">
        <f>IF($C23=0,0,3600/$C23)</f>
        <v>100</v>
      </c>
      <c r="E23" s="55">
        <f>troops_rams_stonecost*$D23</f>
        <v>36000</v>
      </c>
      <c r="F23" s="55">
        <f>troops_rams_woodcost*$D23</f>
        <v>40000</v>
      </c>
      <c r="G23" s="59">
        <f>troops_rams_orecost*$D23</f>
        <v>60000</v>
      </c>
      <c r="H23" s="56">
        <f>IF($C23=0,0,3600*24/$C23)</f>
        <v>2400</v>
      </c>
      <c r="I23" s="57">
        <f>troops_rams_stonecost*$H23</f>
        <v>864000</v>
      </c>
      <c r="J23" s="69">
        <f>troops_rams_woodcost*$H23</f>
        <v>960000</v>
      </c>
      <c r="K23" s="55">
        <f>troops_rams_orecost*$H23</f>
        <v>1440000</v>
      </c>
      <c r="L23" s="36">
        <f>IF($B23=0,0,$B4*40)</f>
        <v>2840</v>
      </c>
      <c r="M23" s="60">
        <f>IF($H23=0,0,IF($L23&gt;$H23,CONCATENATE(ROUNDDOWN($L23/$H23,0),"+ days"),TIME(0,0,$L23*$C23)))</f>
        <v>0</v>
      </c>
    </row>
    <row r="24" spans="1:13" ht="12.75">
      <c r="A24" s="49" t="s">
        <v>95</v>
      </c>
      <c r="B24" s="74" t="s">
        <v>36</v>
      </c>
      <c r="C24" s="67">
        <f>(IF(B24="yes",troops_catapults_baseTime,0)*60)*troopmultiplier*VLOOKUP(castle_catapultWorkshop,range_baseBuildTimePercentage,3,FALSE)</f>
        <v>41.4</v>
      </c>
      <c r="D24" s="64">
        <f>IF($C24=0,0,3600/$C24)</f>
        <v>86.95652173913044</v>
      </c>
      <c r="E24" s="63">
        <f>troops_catapults_stonecost*$D24</f>
        <v>27391.304347826088</v>
      </c>
      <c r="F24" s="63">
        <f>troops_catapults_woodcost*$D24</f>
        <v>30434.782608695652</v>
      </c>
      <c r="G24" s="63">
        <f>troops_catapults_orecost*$D24</f>
        <v>45652.17391304348</v>
      </c>
      <c r="H24" s="64">
        <f>IF($C24=0,0,3600*24/$C24)</f>
        <v>2086.9565217391305</v>
      </c>
      <c r="I24" s="63">
        <f>troops_catapults_stonecost*$H24</f>
        <v>657391.304347826</v>
      </c>
      <c r="J24" s="63">
        <f>troops_catapults_woodcost*$H24</f>
        <v>730434.7826086957</v>
      </c>
      <c r="K24" s="63">
        <f>troops_catapults_orecost*$H24</f>
        <v>1095652.1739130435</v>
      </c>
      <c r="L24" s="37">
        <f>IF($B24=0,0,$B4*40)</f>
        <v>2840</v>
      </c>
      <c r="M24" s="60">
        <f>IF($H24=0,0,IF($L24&gt;$H24,CONCATENATE(ROUNDDOWN($L24/$H24,0),"+ days"),TIME(0,0,$L24*$C24)))</f>
        <v>0</v>
      </c>
    </row>
    <row r="25" spans="2:13" ht="12.75">
      <c r="B25" s="75"/>
      <c r="C25" s="76"/>
      <c r="D25" s="69"/>
      <c r="E25" s="69"/>
      <c r="F25" s="69"/>
      <c r="G25" s="69"/>
      <c r="H25" s="69"/>
      <c r="I25" s="69"/>
      <c r="J25" s="69"/>
      <c r="K25" s="69"/>
      <c r="M25" s="77"/>
    </row>
    <row r="26" spans="3:13" ht="12.75">
      <c r="C26" s="5" t="s">
        <v>96</v>
      </c>
      <c r="D26" s="78">
        <f>SUM($D12:$D24)</f>
        <v>2184.1787439613527</v>
      </c>
      <c r="E26" s="59">
        <f>SUM($E12:$E24)</f>
        <v>229846.85990338164</v>
      </c>
      <c r="F26" s="59">
        <f>SUM($F12:$F24)</f>
        <v>297012.56038647343</v>
      </c>
      <c r="G26" s="63">
        <f>SUM($G12:$G24)</f>
        <v>393907.729468599</v>
      </c>
      <c r="H26" s="64">
        <f>SUM($H12:$H24)</f>
        <v>52420.289855072464</v>
      </c>
      <c r="I26" s="63">
        <f>SUM($I12:$I24)</f>
        <v>5516324.637681159</v>
      </c>
      <c r="J26" s="63">
        <f>SUM($J12:$J24)</f>
        <v>7128301.449275362</v>
      </c>
      <c r="K26" s="65">
        <f>SUM($K12:$K24)</f>
        <v>9453785.507246377</v>
      </c>
      <c r="M26" s="77"/>
    </row>
    <row r="27" spans="3:11" ht="12.75">
      <c r="C27" s="14" t="s">
        <v>97</v>
      </c>
      <c r="D27" s="14"/>
      <c r="E27" s="64">
        <f>VLOOKUP($E$26,range_stone,5)+1</f>
        <v>65</v>
      </c>
      <c r="F27" s="64">
        <f>VLOOKUP($F$26,range_wood,4)+1</f>
        <v>67</v>
      </c>
      <c r="G27" s="79">
        <f>VLOOKUP($G$26,range_ore,3)+1</f>
        <v>70</v>
      </c>
      <c r="I27" s="69"/>
      <c r="J27" s="69"/>
      <c r="K27" s="69"/>
    </row>
    <row r="29" spans="1:3" ht="12.75">
      <c r="A29" s="80"/>
      <c r="B29" s="4" t="s">
        <v>98</v>
      </c>
      <c r="C29" s="5" t="s">
        <v>99</v>
      </c>
    </row>
    <row r="30" spans="1:11" ht="12.75">
      <c r="A30" s="49" t="s">
        <v>31</v>
      </c>
      <c r="B30" s="63">
        <f>VLOOKUP(castle_marketplace,range_traders,2)*50000</f>
        <v>50000</v>
      </c>
      <c r="C30" s="81">
        <v>0</v>
      </c>
      <c r="E30" s="65">
        <f>castle_goodsPerTrip*castle_tradeTripsPerDay/24/3</f>
        <v>0</v>
      </c>
      <c r="F30" s="68">
        <f>castle_goodsPerTrip*castle_tradeTripsPerDay/24/3</f>
        <v>0</v>
      </c>
      <c r="G30" s="65">
        <f>castle_goodsPerTrip*castle_tradeTripsPerDay/24/3</f>
        <v>0</v>
      </c>
      <c r="H30" s="69"/>
      <c r="I30" s="65">
        <f>castle_goodsPerTrip*castle_tradeTripsPerDay/3</f>
        <v>0</v>
      </c>
      <c r="J30" s="68">
        <f>castle_goodsPerTrip*castle_tradeTripsPerDay/3</f>
        <v>0</v>
      </c>
      <c r="K30" s="65">
        <f>castle_goodsPerTrip*castle_tradeTripsPerDay/3</f>
        <v>0</v>
      </c>
    </row>
    <row r="31" ht="12.75">
      <c r="H31" s="69"/>
    </row>
    <row r="32" spans="3:11" ht="12.75">
      <c r="C32" s="14" t="s">
        <v>100</v>
      </c>
      <c r="D32" s="14"/>
      <c r="E32" s="65">
        <f>$E30+$E26</f>
        <v>229846.85990338164</v>
      </c>
      <c r="F32" s="58">
        <f>$F30+$F26</f>
        <v>297012.56038647343</v>
      </c>
      <c r="G32" s="57">
        <f>$G30+$G26</f>
        <v>393907.729468599</v>
      </c>
      <c r="H32" s="69"/>
      <c r="I32" s="63">
        <f>$I30+$I26</f>
        <v>5516324.637681159</v>
      </c>
      <c r="J32" s="63">
        <f>$J30+$J26</f>
        <v>7128301.449275362</v>
      </c>
      <c r="K32" s="65">
        <f>$K30+$K26</f>
        <v>9453785.507246377</v>
      </c>
    </row>
    <row r="33" spans="3:11" ht="12.75">
      <c r="C33" s="15" t="s">
        <v>97</v>
      </c>
      <c r="D33" s="15"/>
      <c r="E33" s="82">
        <f>VLOOKUP(E32,range_stone,5)+1</f>
        <v>65</v>
      </c>
      <c r="F33" s="64">
        <f>VLOOKUP($F$32,range_wood,4)+1</f>
        <v>67</v>
      </c>
      <c r="G33" s="83">
        <f>VLOOKUP($G$32,range_ore,3)+1</f>
        <v>70</v>
      </c>
      <c r="H33" s="69"/>
      <c r="I33" s="69"/>
      <c r="J33" s="69"/>
      <c r="K33" s="69"/>
    </row>
    <row r="34" spans="3:11" ht="12.75">
      <c r="C34" s="6"/>
      <c r="D34" s="6"/>
      <c r="E34" s="63"/>
      <c r="F34" s="69"/>
      <c r="G34" s="69"/>
      <c r="H34" s="69"/>
      <c r="I34" s="69"/>
      <c r="J34" s="69"/>
      <c r="K34" s="69"/>
    </row>
    <row r="35" spans="2:11" ht="12.75">
      <c r="B35" s="49" t="s">
        <v>101</v>
      </c>
      <c r="C35" s="49"/>
      <c r="D35" s="49"/>
      <c r="E35" s="63">
        <f>IF(castle_quarry=0,0,INDEX(Production!B3:B102,castle_quarry))</f>
        <v>248495</v>
      </c>
      <c r="F35" s="63">
        <f>IF(castle_sawmill=0,0,INDEX(Production!C3:C102,castle_sawmill))</f>
        <v>300680</v>
      </c>
      <c r="G35" s="57">
        <f>IF(castle_mine=0,0,INDEX(Production!D3:D102,castle_mine))</f>
        <v>400206</v>
      </c>
      <c r="H35" s="69"/>
      <c r="I35" s="59">
        <f>$E35*24</f>
        <v>5963880</v>
      </c>
      <c r="J35" s="59">
        <f>$F35*24</f>
        <v>7216320</v>
      </c>
      <c r="K35" s="57">
        <f>$G35*24</f>
        <v>9604944</v>
      </c>
    </row>
    <row r="36" spans="3:11" ht="12.75">
      <c r="C36" s="15" t="s">
        <v>102</v>
      </c>
      <c r="D36" s="15"/>
      <c r="E36" s="82">
        <f>$E35-$E32</f>
        <v>18648.140096618357</v>
      </c>
      <c r="F36" s="82">
        <f>$F35-$F32</f>
        <v>3667.4396135265706</v>
      </c>
      <c r="G36" s="83">
        <f>$G35-$G32</f>
        <v>6298.27053140098</v>
      </c>
      <c r="H36" s="69"/>
      <c r="I36" s="64">
        <f>$I35-$I32</f>
        <v>447555.3623188408</v>
      </c>
      <c r="J36" s="64">
        <f>$J35-$J32</f>
        <v>88018.5507246377</v>
      </c>
      <c r="K36" s="83">
        <f>$K35-$K32</f>
        <v>151158.49275362305</v>
      </c>
    </row>
    <row r="37" ht="12.75">
      <c r="H37" s="69"/>
    </row>
    <row r="38" spans="1:11" ht="12.75">
      <c r="A38" s="35" t="s">
        <v>103</v>
      </c>
      <c r="B38" s="35"/>
      <c r="C38" s="59">
        <f>VLOOKUP(castle_livingQuarters,range_settlers,16)</f>
        <v>9862904</v>
      </c>
      <c r="D38" s="59"/>
      <c r="E38" s="4" t="s">
        <v>104</v>
      </c>
      <c r="F38" s="4"/>
      <c r="G38" s="4"/>
      <c r="I38" s="49" t="s">
        <v>105</v>
      </c>
      <c r="J38" s="49"/>
      <c r="K38" s="84">
        <f>VLOOKUP($H$26,range_troopCapacity,2)</f>
        <v>31</v>
      </c>
    </row>
    <row r="39" spans="1:7" ht="12.75">
      <c r="A39" s="35" t="s">
        <v>106</v>
      </c>
      <c r="B39" s="35"/>
      <c r="C39" s="59">
        <f>VLOOKUP(castle_quarry,range_settlers,2)+VLOOKUP(castle_sawmill,range_settlers,3)+VLOOKUP(castle_mine,range_settlers,4)+VLOOKUP(castle_barracks,range_settlers,5)+VLOOKUP(castle_stables,range_settlers,6)+VLOOKUP(castle_catapultWorkshop,range_settlers,7)+VLOOKUP(castle_tournamentField,range_settlers,8)+VLOOKUP(castle_militaryTrainingGrounds,range_settlers,9)+VLOOKUP(castle_marketplace,range_settlers,10)+VLOOKUP(castle_wall,range_settlers,11)+VLOOKUP(castle_constructionOffice,range_settlers,12)+VLOOKUP(castle_laboratory,range_settlers,13)+VLOOKUP(castle_senate,range_settlers,14)+VLOOKUP(castle_treasury,range_settlers,15)</f>
        <v>10826130</v>
      </c>
      <c r="D39" s="59"/>
      <c r="E39" s="85">
        <f>VLOOKUP(C39,range_maxSettlers,2)</f>
        <v>43</v>
      </c>
      <c r="F39" s="85"/>
      <c r="G39" s="85"/>
    </row>
    <row r="40" spans="1:9" ht="12.75">
      <c r="A40" s="86" t="s">
        <v>107</v>
      </c>
      <c r="B40" s="86"/>
      <c r="C40" s="64">
        <f>C38-C39</f>
        <v>-963226</v>
      </c>
      <c r="D40" s="64"/>
      <c r="I40" s="30" t="s">
        <v>108</v>
      </c>
    </row>
  </sheetData>
  <sheetProtection selectLockedCells="1" selectUnlockedCells="1"/>
  <mergeCells count="23">
    <mergeCell ref="C1:D1"/>
    <mergeCell ref="C2:D2"/>
    <mergeCell ref="C3:D3"/>
    <mergeCell ref="C4:D4"/>
    <mergeCell ref="C5:D5"/>
    <mergeCell ref="C6:D6"/>
    <mergeCell ref="C7:D7"/>
    <mergeCell ref="C8:D8"/>
    <mergeCell ref="C9:D9"/>
    <mergeCell ref="C27:D27"/>
    <mergeCell ref="C32:D32"/>
    <mergeCell ref="C33:D33"/>
    <mergeCell ref="B35:D35"/>
    <mergeCell ref="C36:D36"/>
    <mergeCell ref="A38:B38"/>
    <mergeCell ref="C38:D38"/>
    <mergeCell ref="E38:G38"/>
    <mergeCell ref="I38:J38"/>
    <mergeCell ref="A39:B39"/>
    <mergeCell ref="C39:D39"/>
    <mergeCell ref="E39:G39"/>
    <mergeCell ref="A40:B40"/>
    <mergeCell ref="C40:D40"/>
  </mergeCells>
  <conditionalFormatting sqref="B2">
    <cfRule type="cellIs" priority="1" dxfId="0" operator="equal" stopIfTrue="1">
      <formula>0</formula>
    </cfRule>
    <cfRule type="expression" priority="2" dxfId="1" stopIfTrue="1">
      <formula>(((((castle_constructionOffice&lt;5)))))</formula>
    </cfRule>
  </conditionalFormatting>
  <conditionalFormatting sqref="B3">
    <cfRule type="cellIs" priority="3" dxfId="0" operator="equal" stopIfTrue="1">
      <formula>0</formula>
    </cfRule>
    <cfRule type="expression" priority="4" dxfId="1" stopIfTrue="1">
      <formula>(((((castle_laboratory&lt;5)))))</formula>
    </cfRule>
    <cfRule type="expression" priority="5" dxfId="1" stopIfTrue="1">
      <formula>(((((castle_barracks&lt;10)))))</formula>
    </cfRule>
    <cfRule type="expression" priority="6" dxfId="1" stopIfTrue="1">
      <formula>(((((castle_constructionOffice&lt;10)))))</formula>
    </cfRule>
  </conditionalFormatting>
  <conditionalFormatting sqref="B4">
    <cfRule type="cellIs" priority="7" dxfId="0" operator="equal" stopIfTrue="1">
      <formula>0</formula>
    </cfRule>
    <cfRule type="expression" priority="8" dxfId="1" stopIfTrue="1">
      <formula>(((((castle_barracks&lt;15)))))</formula>
    </cfRule>
    <cfRule type="expression" priority="9" dxfId="1" stopIfTrue="1">
      <formula>(((((castle_constructionOffice&lt;20)))))</formula>
    </cfRule>
  </conditionalFormatting>
  <conditionalFormatting sqref="B5">
    <cfRule type="cellIs" priority="10" dxfId="2" operator="lessThan" stopIfTrue="1">
      <formula>ResourceNeed!$E$33</formula>
    </cfRule>
    <cfRule type="cellIs" priority="11" dxfId="3" operator="equal" stopIfTrue="1">
      <formula>ResourceNeed!$E$33</formula>
    </cfRule>
    <cfRule type="expression" priority="12" dxfId="4" stopIfTrue="1">
      <formula>#N/A</formula>
    </cfRule>
    <cfRule type="cellIs" priority="13" dxfId="5" operator="greaterThan" stopIfTrue="1">
      <formula>ResourceNeed!$E$33</formula>
    </cfRule>
  </conditionalFormatting>
  <conditionalFormatting sqref="B6">
    <cfRule type="cellIs" priority="14" dxfId="2" operator="lessThan" stopIfTrue="1">
      <formula>ResourceNeed!$F$33</formula>
    </cfRule>
    <cfRule type="cellIs" priority="15" dxfId="3" operator="equal" stopIfTrue="1">
      <formula>ResourceNeed!$F$33</formula>
    </cfRule>
    <cfRule type="expression" priority="16" dxfId="4" stopIfTrue="1">
      <formula>#N/A</formula>
    </cfRule>
    <cfRule type="cellIs" priority="17" dxfId="5" operator="greaterThan" stopIfTrue="1">
      <formula>ResourceNeed!$F$33</formula>
    </cfRule>
  </conditionalFormatting>
  <conditionalFormatting sqref="B7">
    <cfRule type="cellIs" priority="18" dxfId="2" operator="lessThan" stopIfTrue="1">
      <formula>ResourceNeed!$G$33</formula>
    </cfRule>
    <cfRule type="cellIs" priority="19" dxfId="3" operator="equal" stopIfTrue="1">
      <formula>ResourceNeed!$G$33</formula>
    </cfRule>
    <cfRule type="expression" priority="20" dxfId="4" stopIfTrue="1">
      <formula>#N/A</formula>
    </cfRule>
    <cfRule type="cellIs" priority="21" dxfId="5" operator="greaterThan" stopIfTrue="1">
      <formula>ResourceNeed!$G$33</formula>
    </cfRule>
  </conditionalFormatting>
  <conditionalFormatting sqref="B8">
    <cfRule type="cellIs" priority="22" dxfId="2" operator="lessThan" stopIfTrue="1">
      <formula>ResourceNeed!$E$39</formula>
    </cfRule>
    <cfRule type="cellIs" priority="23" dxfId="3" operator="equal" stopIfTrue="1">
      <formula>ResourceNeed!$E$39</formula>
    </cfRule>
    <cfRule type="expression" priority="24" dxfId="4" stopIfTrue="1">
      <formula>#N/A</formula>
    </cfRule>
    <cfRule type="cellIs" priority="25" dxfId="5" operator="greaterThan" stopIfTrue="1">
      <formula>ResourceNeed!$E$39</formula>
    </cfRule>
  </conditionalFormatting>
  <conditionalFormatting sqref="E1">
    <cfRule type="cellIs" priority="26" dxfId="6" operator="equal" stopIfTrue="1">
      <formula>0</formula>
    </cfRule>
    <cfRule type="expression" priority="27" dxfId="1" stopIfTrue="1">
      <formula>(((((castle_storehouse&lt;3)))))</formula>
    </cfRule>
    <cfRule type="cellIs" priority="28" dxfId="7" operator="greaterThan" stopIfTrue="1">
      <formula>0</formula>
    </cfRule>
  </conditionalFormatting>
  <conditionalFormatting sqref="E2">
    <cfRule type="cellIs" priority="29" dxfId="0" operator="equal" stopIfTrue="1">
      <formula>0</formula>
    </cfRule>
    <cfRule type="expression" priority="30" dxfId="1" stopIfTrue="1">
      <formula>(((((castle_barracks&lt;5)))))</formula>
    </cfRule>
    <cfRule type="cellIs" priority="31" dxfId="8" operator="equal" stopIfTrue="1">
      <formula>ResourceNeed!$K$38</formula>
    </cfRule>
    <cfRule type="cellIs" priority="32" dxfId="9" operator="greaterThan" stopIfTrue="1">
      <formula>ResourceNeed!$K$38</formula>
    </cfRule>
    <cfRule type="cellIs" priority="33" dxfId="10" operator="lessThan" stopIfTrue="1">
      <formula>ResourceNeed!$K$38</formula>
    </cfRule>
  </conditionalFormatting>
  <conditionalFormatting sqref="E3">
    <cfRule type="cellIs" priority="34" dxfId="0" operator="equal" stopIfTrue="1">
      <formula>0</formula>
    </cfRule>
    <cfRule type="expression" priority="35" dxfId="1" stopIfTrue="1">
      <formula>(((((castle_militaryTrainingGrounds&lt;10)))))</formula>
    </cfRule>
    <cfRule type="expression" priority="36" dxfId="1" stopIfTrue="1">
      <formula>(((((castle_barracks&lt;15)))))</formula>
    </cfRule>
  </conditionalFormatting>
  <conditionalFormatting sqref="E4">
    <cfRule type="cellIs" priority="37" dxfId="0" operator="equal" stopIfTrue="1">
      <formula>0</formula>
    </cfRule>
    <cfRule type="expression" priority="38" dxfId="1" stopIfTrue="1">
      <formula>(((((castle_storehouse&lt;2)))))</formula>
    </cfRule>
    <cfRule type="expression" priority="39" dxfId="1" stopIfTrue="1">
      <formula>(((((castle_constructionOffice&lt;5)))))</formula>
    </cfRule>
  </conditionalFormatting>
  <conditionalFormatting sqref="E6">
    <cfRule type="cellIs" priority="40" dxfId="0" operator="equal" stopIfTrue="1">
      <formula>0</formula>
    </cfRule>
    <cfRule type="expression" priority="41" dxfId="1" stopIfTrue="1">
      <formula>(((((castle_quarry&lt;5)))))</formula>
    </cfRule>
    <cfRule type="expression" priority="42" dxfId="1" stopIfTrue="1">
      <formula>(((((castle_mine&lt;5)))))</formula>
    </cfRule>
    <cfRule type="expression" priority="43" dxfId="1" stopIfTrue="1">
      <formula>(((((castle_sawmill&lt;5)))))</formula>
    </cfRule>
  </conditionalFormatting>
  <conditionalFormatting sqref="E7">
    <cfRule type="cellIs" priority="44" dxfId="6" operator="equal" stopIfTrue="1">
      <formula>0</formula>
    </cfRule>
    <cfRule type="expression" priority="45" dxfId="1" stopIfTrue="1">
      <formula>(((((castle_constructionOffice&lt;20)))))</formula>
    </cfRule>
    <cfRule type="expression" priority="46" dxfId="1" stopIfTrue="1">
      <formula>(((((castle_livingQuarters&lt;20)))))</formula>
    </cfRule>
    <cfRule type="expression" priority="47" dxfId="1" stopIfTrue="1">
      <formula>(((((castle_wall&lt;20)))))</formula>
    </cfRule>
    <cfRule type="expression" priority="48" dxfId="1" stopIfTrue="1">
      <formula>(((((castle_catapultWorkshop&lt;10)))))</formula>
    </cfRule>
    <cfRule type="expression" priority="49" dxfId="1" stopIfTrue="1">
      <formula>(((((castle_tournamentField&lt;5)))))</formula>
    </cfRule>
    <cfRule type="cellIs" priority="50" dxfId="7" operator="greaterThan" stopIfTrue="1">
      <formula>34</formula>
    </cfRule>
  </conditionalFormatting>
  <conditionalFormatting sqref="E8">
    <cfRule type="cellIs" priority="51" dxfId="0" operator="equal" stopIfTrue="1">
      <formula>0</formula>
    </cfRule>
    <cfRule type="expression" priority="52" dxfId="1" stopIfTrue="1">
      <formula>(((((castle_storehouse&lt;30)))))</formula>
    </cfRule>
  </conditionalFormatting>
  <conditionalFormatting sqref="E9">
    <cfRule type="cellIs" priority="53" dxfId="6" operator="equal" stopIfTrue="1">
      <formula>0</formula>
    </cfRule>
    <cfRule type="expression" priority="54" dxfId="1" stopIfTrue="1">
      <formula>(((((castle_constructionOffice&lt;5)))))</formula>
    </cfRule>
    <cfRule type="expression" priority="55" dxfId="1" stopIfTrue="1">
      <formula>(((((castle_barracks&lt;5)))))</formula>
    </cfRule>
    <cfRule type="expression" priority="56" dxfId="1" stopIfTrue="1">
      <formula>(((((castle_militaryTrainingGrounds&lt;1)))))</formula>
    </cfRule>
    <cfRule type="cellIs" priority="57" dxfId="2" operator="greaterThan" stopIfTrue="1">
      <formula>30</formula>
    </cfRule>
  </conditionalFormatting>
  <conditionalFormatting sqref="G6">
    <cfRule type="cellIs" priority="58" dxfId="2" operator="greaterThan" stopIfTrue="1">
      <formula>castle_slots_available</formula>
    </cfRule>
    <cfRule type="cellIs" priority="59" dxfId="5" operator="lessThan" stopIfTrue="1">
      <formula>castle_slots_available</formula>
    </cfRule>
    <cfRule type="cellIs" priority="60" dxfId="3" operator="equal" stopIfTrue="1">
      <formula>castle_slots_available</formula>
    </cfRule>
  </conditionalFormatting>
  <dataValidations count="1">
    <dataValidation type="list" operator="equal" allowBlank="1" showErrorMessage="1" sqref="B1">
      <formula1>Castles!$A$7:$A$100</formula1>
    </dataValidation>
  </dataValidations>
  <printOptions/>
  <pageMargins left="1" right="1" top="1.1388888888888888" bottom="1.1388888888888888" header="1" footer="1"/>
  <pageSetup cellComments="atEnd"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02"/>
  <sheetViews>
    <sheetView workbookViewId="0" topLeftCell="A1">
      <selection activeCell="Q1" sqref="Q1"/>
    </sheetView>
  </sheetViews>
  <sheetFormatPr defaultColWidth="7.00390625" defaultRowHeight="12.75"/>
  <cols>
    <col min="1" max="1" width="7.50390625" style="30" customWidth="1"/>
    <col min="2" max="4" width="9.125" style="30" customWidth="1"/>
    <col min="5" max="6" width="10.00390625" style="30" customWidth="1"/>
    <col min="7" max="7" width="10.25390625" style="30" customWidth="1"/>
    <col min="8" max="8" width="9.75390625" style="30" customWidth="1"/>
    <col min="9" max="9" width="9.125" style="30" customWidth="1"/>
    <col min="10" max="10" width="10.25390625" style="30" customWidth="1"/>
    <col min="11" max="11" width="10.625" style="30" customWidth="1"/>
    <col min="12" max="12" width="10.25390625" style="30" customWidth="1"/>
    <col min="13" max="13" width="8.625" style="30" customWidth="1"/>
    <col min="14" max="14" width="10.00390625" style="30" customWidth="1"/>
    <col min="15" max="15" width="10.25390625" style="30" customWidth="1"/>
    <col min="16" max="16" width="15.75390625" style="30" customWidth="1"/>
    <col min="17" max="16384" width="7.50390625" style="30" customWidth="1"/>
  </cols>
  <sheetData>
    <row r="1" spans="1:17" ht="34.5">
      <c r="A1" s="4" t="s">
        <v>109</v>
      </c>
      <c r="B1" s="14" t="s">
        <v>110</v>
      </c>
      <c r="C1" s="14" t="s">
        <v>111</v>
      </c>
      <c r="D1" s="14" t="s">
        <v>112</v>
      </c>
      <c r="E1" s="4" t="s">
        <v>113</v>
      </c>
      <c r="F1" s="4" t="s">
        <v>114</v>
      </c>
      <c r="G1" s="4" t="s">
        <v>115</v>
      </c>
      <c r="H1" s="14" t="s">
        <v>116</v>
      </c>
      <c r="I1" s="4" t="s">
        <v>117</v>
      </c>
      <c r="J1" s="5" t="s">
        <v>118</v>
      </c>
      <c r="K1" s="5" t="s">
        <v>119</v>
      </c>
      <c r="L1" s="4" t="s">
        <v>120</v>
      </c>
      <c r="M1" s="4" t="s">
        <v>121</v>
      </c>
      <c r="N1" s="4" t="s">
        <v>122</v>
      </c>
      <c r="O1" s="4" t="s">
        <v>123</v>
      </c>
      <c r="P1" s="5" t="s">
        <v>124</v>
      </c>
      <c r="Q1" s="4" t="s">
        <v>109</v>
      </c>
    </row>
    <row r="2" spans="1:17" ht="12.75">
      <c r="A2" s="87">
        <v>0</v>
      </c>
      <c r="B2" s="42">
        <v>0</v>
      </c>
      <c r="C2" s="42">
        <v>0</v>
      </c>
      <c r="D2" s="42">
        <v>0</v>
      </c>
      <c r="E2" s="36">
        <v>0</v>
      </c>
      <c r="F2" s="36">
        <v>0</v>
      </c>
      <c r="G2" s="36">
        <v>0</v>
      </c>
      <c r="H2" s="42">
        <v>0</v>
      </c>
      <c r="I2" s="36">
        <v>0</v>
      </c>
      <c r="J2" s="33">
        <v>0</v>
      </c>
      <c r="K2" s="33">
        <v>0</v>
      </c>
      <c r="L2" s="36">
        <v>0</v>
      </c>
      <c r="M2" s="36">
        <v>0</v>
      </c>
      <c r="N2" s="36">
        <v>0</v>
      </c>
      <c r="O2" s="36">
        <v>0</v>
      </c>
      <c r="P2" s="33">
        <v>0</v>
      </c>
      <c r="Q2" s="87">
        <v>0</v>
      </c>
    </row>
    <row r="3" spans="1:17" ht="12.75">
      <c r="A3" s="87">
        <v>1</v>
      </c>
      <c r="B3" s="88">
        <v>5</v>
      </c>
      <c r="C3" s="88">
        <v>5</v>
      </c>
      <c r="D3" s="55">
        <v>5</v>
      </c>
      <c r="E3" s="59">
        <v>7</v>
      </c>
      <c r="F3" s="59">
        <v>5</v>
      </c>
      <c r="G3" s="59">
        <v>8</v>
      </c>
      <c r="H3" s="55">
        <v>1</v>
      </c>
      <c r="I3" s="59">
        <v>1</v>
      </c>
      <c r="J3" s="57">
        <v>20</v>
      </c>
      <c r="K3" s="57">
        <v>5</v>
      </c>
      <c r="L3" s="59">
        <v>5</v>
      </c>
      <c r="M3" s="36">
        <v>40</v>
      </c>
      <c r="N3" s="36">
        <v>40</v>
      </c>
      <c r="O3" s="36">
        <v>40</v>
      </c>
      <c r="P3" s="57">
        <v>308</v>
      </c>
      <c r="Q3" s="87">
        <v>1</v>
      </c>
    </row>
    <row r="4" spans="1:17" ht="12.75">
      <c r="A4" s="87">
        <f>$A3+1</f>
        <v>2</v>
      </c>
      <c r="B4" s="57">
        <v>11</v>
      </c>
      <c r="C4" s="57">
        <v>11</v>
      </c>
      <c r="D4" s="59">
        <v>11</v>
      </c>
      <c r="E4" s="59">
        <v>15</v>
      </c>
      <c r="F4" s="59">
        <v>11</v>
      </c>
      <c r="G4" s="59">
        <v>17</v>
      </c>
      <c r="H4" s="59">
        <v>2</v>
      </c>
      <c r="I4" s="59">
        <v>2</v>
      </c>
      <c r="J4" s="57">
        <v>43</v>
      </c>
      <c r="K4" s="57">
        <v>11</v>
      </c>
      <c r="L4" s="59">
        <v>11</v>
      </c>
      <c r="M4" s="36">
        <v>83</v>
      </c>
      <c r="N4" s="36">
        <v>88</v>
      </c>
      <c r="O4" s="36">
        <v>88</v>
      </c>
      <c r="P4" s="57">
        <v>395</v>
      </c>
      <c r="Q4" s="87">
        <f>$A3+1</f>
        <v>2</v>
      </c>
    </row>
    <row r="5" spans="1:17" ht="12.75">
      <c r="A5" s="87">
        <f>$A4+1</f>
        <v>3</v>
      </c>
      <c r="B5" s="57">
        <v>18</v>
      </c>
      <c r="C5" s="57">
        <v>18</v>
      </c>
      <c r="D5" s="59">
        <v>18</v>
      </c>
      <c r="E5" s="59">
        <v>25</v>
      </c>
      <c r="F5" s="59">
        <v>18</v>
      </c>
      <c r="G5" s="59">
        <v>28</v>
      </c>
      <c r="H5" s="59">
        <v>3</v>
      </c>
      <c r="I5" s="59">
        <v>3</v>
      </c>
      <c r="J5" s="57">
        <v>70</v>
      </c>
      <c r="K5" s="57">
        <v>18</v>
      </c>
      <c r="L5" s="59">
        <v>18</v>
      </c>
      <c r="M5" s="36">
        <v>139</v>
      </c>
      <c r="N5" s="36">
        <v>146</v>
      </c>
      <c r="O5" s="36">
        <v>146</v>
      </c>
      <c r="P5" s="57">
        <v>506</v>
      </c>
      <c r="Q5" s="87">
        <f>$A4+1</f>
        <v>3</v>
      </c>
    </row>
    <row r="6" spans="1:17" ht="12.75">
      <c r="A6" s="87">
        <f>$A5+1</f>
        <v>4</v>
      </c>
      <c r="B6" s="57">
        <v>26</v>
      </c>
      <c r="C6" s="57">
        <v>26</v>
      </c>
      <c r="D6" s="59">
        <v>26</v>
      </c>
      <c r="E6" s="59">
        <v>36</v>
      </c>
      <c r="F6" s="59">
        <v>26</v>
      </c>
      <c r="G6" s="59">
        <v>40</v>
      </c>
      <c r="H6" s="59">
        <v>5</v>
      </c>
      <c r="I6" s="59">
        <v>5</v>
      </c>
      <c r="J6" s="57">
        <v>102</v>
      </c>
      <c r="K6" s="57">
        <v>26</v>
      </c>
      <c r="L6" s="59">
        <v>26</v>
      </c>
      <c r="M6" s="36">
        <v>199</v>
      </c>
      <c r="N6" s="36">
        <v>215</v>
      </c>
      <c r="O6" s="36">
        <v>215</v>
      </c>
      <c r="P6" s="57">
        <v>648</v>
      </c>
      <c r="Q6" s="87">
        <f>$A5+1</f>
        <v>4</v>
      </c>
    </row>
    <row r="7" spans="1:17" ht="12.75">
      <c r="A7" s="87">
        <f>$A6+1</f>
        <v>5</v>
      </c>
      <c r="B7" s="57">
        <v>35</v>
      </c>
      <c r="C7" s="57">
        <v>35</v>
      </c>
      <c r="D7" s="59">
        <v>35</v>
      </c>
      <c r="E7" s="59">
        <v>49</v>
      </c>
      <c r="F7" s="59">
        <v>47</v>
      </c>
      <c r="G7" s="59">
        <v>54</v>
      </c>
      <c r="H7" s="59">
        <v>7</v>
      </c>
      <c r="I7" s="59">
        <v>7</v>
      </c>
      <c r="J7" s="57">
        <v>139</v>
      </c>
      <c r="K7" s="57">
        <v>35</v>
      </c>
      <c r="L7" s="59">
        <v>35</v>
      </c>
      <c r="M7" s="36">
        <v>268</v>
      </c>
      <c r="N7" s="36">
        <v>298</v>
      </c>
      <c r="O7" s="36">
        <v>298</v>
      </c>
      <c r="P7" s="57">
        <v>830</v>
      </c>
      <c r="Q7" s="87">
        <f>$A6+1</f>
        <v>5</v>
      </c>
    </row>
    <row r="8" spans="1:17" ht="12.75">
      <c r="A8" s="87">
        <f>$A7+1</f>
        <v>6</v>
      </c>
      <c r="B8" s="57">
        <v>45</v>
      </c>
      <c r="C8" s="57">
        <v>45</v>
      </c>
      <c r="D8" s="59">
        <v>45</v>
      </c>
      <c r="E8" s="59">
        <v>64</v>
      </c>
      <c r="F8" s="59">
        <v>58</v>
      </c>
      <c r="G8" s="59">
        <v>71</v>
      </c>
      <c r="H8" s="59">
        <v>9</v>
      </c>
      <c r="I8" s="59">
        <v>9</v>
      </c>
      <c r="J8" s="57">
        <v>183</v>
      </c>
      <c r="K8" s="57">
        <v>46</v>
      </c>
      <c r="L8" s="59">
        <v>46</v>
      </c>
      <c r="M8" s="36">
        <v>347</v>
      </c>
      <c r="N8" s="36">
        <v>398</v>
      </c>
      <c r="O8" s="36">
        <v>398</v>
      </c>
      <c r="P8" s="57">
        <v>1063</v>
      </c>
      <c r="Q8" s="87">
        <f>$A7+1</f>
        <v>6</v>
      </c>
    </row>
    <row r="9" spans="1:17" ht="12.75">
      <c r="A9" s="87">
        <f>$A8+1</f>
        <v>7</v>
      </c>
      <c r="B9" s="57">
        <v>57</v>
      </c>
      <c r="C9" s="57">
        <v>57</v>
      </c>
      <c r="D9" s="59">
        <v>57</v>
      </c>
      <c r="E9" s="59">
        <v>82</v>
      </c>
      <c r="F9" s="59">
        <v>72</v>
      </c>
      <c r="G9" s="59">
        <v>90</v>
      </c>
      <c r="H9" s="59">
        <v>12</v>
      </c>
      <c r="I9" s="59">
        <v>12</v>
      </c>
      <c r="J9" s="57">
        <v>234</v>
      </c>
      <c r="K9" s="57">
        <v>59</v>
      </c>
      <c r="L9" s="59">
        <v>59</v>
      </c>
      <c r="M9" s="36">
        <v>438</v>
      </c>
      <c r="N9" s="36">
        <v>517</v>
      </c>
      <c r="O9" s="36">
        <v>517</v>
      </c>
      <c r="P9" s="57">
        <v>1361</v>
      </c>
      <c r="Q9" s="87">
        <f>$A8+1</f>
        <v>7</v>
      </c>
    </row>
    <row r="10" spans="1:17" ht="12.75">
      <c r="A10" s="87">
        <f>$A9+1</f>
        <v>8</v>
      </c>
      <c r="B10" s="57">
        <v>71</v>
      </c>
      <c r="C10" s="57">
        <v>71</v>
      </c>
      <c r="D10" s="59">
        <v>71</v>
      </c>
      <c r="E10" s="59">
        <v>103</v>
      </c>
      <c r="F10" s="59">
        <v>89</v>
      </c>
      <c r="G10" s="59">
        <v>113</v>
      </c>
      <c r="H10" s="59">
        <v>15</v>
      </c>
      <c r="I10" s="59">
        <v>15</v>
      </c>
      <c r="J10" s="57">
        <v>294</v>
      </c>
      <c r="K10" s="57">
        <v>74</v>
      </c>
      <c r="L10" s="59">
        <v>74</v>
      </c>
      <c r="M10" s="36">
        <v>542</v>
      </c>
      <c r="N10" s="36">
        <v>660</v>
      </c>
      <c r="O10" s="36">
        <v>660</v>
      </c>
      <c r="P10" s="57">
        <v>1743</v>
      </c>
      <c r="Q10" s="87">
        <f>$A9+1</f>
        <v>8</v>
      </c>
    </row>
    <row r="11" spans="1:17" ht="12.75">
      <c r="A11" s="87">
        <f>$A10+1</f>
        <v>9</v>
      </c>
      <c r="B11" s="57">
        <v>87</v>
      </c>
      <c r="C11" s="57">
        <v>87</v>
      </c>
      <c r="D11" s="59">
        <v>87</v>
      </c>
      <c r="E11" s="59">
        <v>128</v>
      </c>
      <c r="F11" s="59">
        <v>92</v>
      </c>
      <c r="G11" s="59">
        <v>139</v>
      </c>
      <c r="H11" s="59">
        <v>19</v>
      </c>
      <c r="I11" s="59">
        <v>19</v>
      </c>
      <c r="J11" s="57">
        <v>364</v>
      </c>
      <c r="K11" s="57">
        <v>92</v>
      </c>
      <c r="L11" s="59">
        <v>92</v>
      </c>
      <c r="M11" s="36">
        <v>662</v>
      </c>
      <c r="N11" s="36">
        <v>832</v>
      </c>
      <c r="O11" s="36">
        <v>832</v>
      </c>
      <c r="P11" s="57">
        <v>2232</v>
      </c>
      <c r="Q11" s="87">
        <f>$A10+1</f>
        <v>9</v>
      </c>
    </row>
    <row r="12" spans="1:17" ht="12.75">
      <c r="A12" s="87">
        <f>$A11+1</f>
        <v>10</v>
      </c>
      <c r="B12" s="57">
        <v>105</v>
      </c>
      <c r="C12" s="57">
        <v>105</v>
      </c>
      <c r="D12" s="59">
        <v>105</v>
      </c>
      <c r="E12" s="59">
        <v>157</v>
      </c>
      <c r="F12" s="59">
        <v>113</v>
      </c>
      <c r="G12" s="59">
        <v>169</v>
      </c>
      <c r="H12" s="59">
        <v>23</v>
      </c>
      <c r="I12" s="59">
        <v>23</v>
      </c>
      <c r="J12" s="57">
        <v>446</v>
      </c>
      <c r="K12" s="57">
        <v>113</v>
      </c>
      <c r="L12" s="59">
        <v>113</v>
      </c>
      <c r="M12" s="36">
        <v>799</v>
      </c>
      <c r="N12" s="36">
        <v>1038</v>
      </c>
      <c r="O12" s="36">
        <v>1038</v>
      </c>
      <c r="P12" s="57">
        <v>2857</v>
      </c>
      <c r="Q12" s="87">
        <f>$A11+1</f>
        <v>10</v>
      </c>
    </row>
    <row r="13" spans="1:17" ht="12.75">
      <c r="A13" s="87">
        <f>$A12+1</f>
        <v>11</v>
      </c>
      <c r="B13" s="57">
        <v>126</v>
      </c>
      <c r="C13" s="57">
        <v>126</v>
      </c>
      <c r="D13" s="59">
        <v>126</v>
      </c>
      <c r="E13" s="59">
        <v>191</v>
      </c>
      <c r="F13" s="59">
        <v>137</v>
      </c>
      <c r="G13" s="59">
        <v>204</v>
      </c>
      <c r="H13" s="59">
        <v>28</v>
      </c>
      <c r="I13" s="59">
        <v>28</v>
      </c>
      <c r="J13" s="57">
        <v>542</v>
      </c>
      <c r="K13" s="57">
        <v>137</v>
      </c>
      <c r="L13" s="59">
        <v>137</v>
      </c>
      <c r="M13" s="36">
        <v>957</v>
      </c>
      <c r="N13" s="36">
        <v>1286</v>
      </c>
      <c r="O13" s="36">
        <v>1286</v>
      </c>
      <c r="P13" s="57">
        <v>3657</v>
      </c>
      <c r="Q13" s="87">
        <f>$A12+1</f>
        <v>11</v>
      </c>
    </row>
    <row r="14" spans="1:17" ht="12.75">
      <c r="A14" s="87">
        <f>$A13+1</f>
        <v>12</v>
      </c>
      <c r="B14" s="57">
        <v>150</v>
      </c>
      <c r="C14" s="57">
        <v>150</v>
      </c>
      <c r="D14" s="59">
        <v>150</v>
      </c>
      <c r="E14" s="59">
        <v>230</v>
      </c>
      <c r="F14" s="59">
        <v>165</v>
      </c>
      <c r="G14" s="59">
        <v>245</v>
      </c>
      <c r="H14" s="59">
        <v>34</v>
      </c>
      <c r="I14" s="59">
        <v>34</v>
      </c>
      <c r="J14" s="57">
        <v>654</v>
      </c>
      <c r="K14" s="57">
        <v>165</v>
      </c>
      <c r="L14" s="59">
        <v>165</v>
      </c>
      <c r="M14" s="36">
        <v>1138</v>
      </c>
      <c r="N14" s="36">
        <v>1583</v>
      </c>
      <c r="O14" s="36">
        <v>1583</v>
      </c>
      <c r="P14" s="57">
        <v>4681</v>
      </c>
      <c r="Q14" s="87">
        <f>$A13+1</f>
        <v>12</v>
      </c>
    </row>
    <row r="15" spans="1:17" ht="12.75">
      <c r="A15" s="87">
        <f>$A14+1</f>
        <v>13</v>
      </c>
      <c r="B15" s="57">
        <v>178</v>
      </c>
      <c r="C15" s="57">
        <v>178</v>
      </c>
      <c r="D15" s="59">
        <v>178</v>
      </c>
      <c r="E15" s="59">
        <v>276</v>
      </c>
      <c r="F15" s="59">
        <v>198</v>
      </c>
      <c r="G15" s="65">
        <v>292</v>
      </c>
      <c r="H15" s="58">
        <v>41</v>
      </c>
      <c r="I15" s="59">
        <v>41</v>
      </c>
      <c r="J15" s="57">
        <v>786</v>
      </c>
      <c r="K15" s="57">
        <v>198</v>
      </c>
      <c r="L15" s="59">
        <v>198</v>
      </c>
      <c r="M15" s="36">
        <v>1345</v>
      </c>
      <c r="N15" s="36">
        <v>1940</v>
      </c>
      <c r="O15" s="36">
        <v>1940</v>
      </c>
      <c r="P15" s="57">
        <v>5992</v>
      </c>
      <c r="Q15" s="87">
        <f>$A14+1</f>
        <v>13</v>
      </c>
    </row>
    <row r="16" spans="1:17" ht="12.75">
      <c r="A16" s="87">
        <f>$A15+1</f>
        <v>14</v>
      </c>
      <c r="B16" s="57">
        <v>211</v>
      </c>
      <c r="C16" s="57">
        <v>211</v>
      </c>
      <c r="D16" s="59">
        <v>211</v>
      </c>
      <c r="E16" s="59">
        <v>330</v>
      </c>
      <c r="F16" s="59">
        <v>236</v>
      </c>
      <c r="G16" s="55">
        <v>347</v>
      </c>
      <c r="H16" s="59">
        <v>49</v>
      </c>
      <c r="I16" s="59">
        <v>49</v>
      </c>
      <c r="J16" s="57">
        <v>940</v>
      </c>
      <c r="K16" s="57">
        <v>236</v>
      </c>
      <c r="L16" s="59">
        <v>236</v>
      </c>
      <c r="M16" s="36">
        <v>1583</v>
      </c>
      <c r="N16" s="36">
        <v>2368</v>
      </c>
      <c r="O16" s="36">
        <v>2368</v>
      </c>
      <c r="P16" s="57">
        <v>7670</v>
      </c>
      <c r="Q16" s="87">
        <f>$A15+1</f>
        <v>14</v>
      </c>
    </row>
    <row r="17" spans="1:17" ht="12.75">
      <c r="A17" s="87">
        <f>$A16+1</f>
        <v>15</v>
      </c>
      <c r="B17" s="57">
        <v>249</v>
      </c>
      <c r="C17" s="57">
        <v>249</v>
      </c>
      <c r="D17" s="59">
        <v>249</v>
      </c>
      <c r="E17" s="59">
        <v>393</v>
      </c>
      <c r="F17" s="59">
        <v>281</v>
      </c>
      <c r="G17" s="59">
        <v>411</v>
      </c>
      <c r="H17" s="59">
        <v>58</v>
      </c>
      <c r="I17" s="59">
        <v>58</v>
      </c>
      <c r="J17" s="57">
        <v>1120</v>
      </c>
      <c r="K17" s="57">
        <v>281</v>
      </c>
      <c r="L17" s="59">
        <v>281</v>
      </c>
      <c r="M17" s="36">
        <v>1856</v>
      </c>
      <c r="N17" s="36">
        <v>2882</v>
      </c>
      <c r="O17" s="36">
        <v>2882</v>
      </c>
      <c r="P17" s="57">
        <v>9818</v>
      </c>
      <c r="Q17" s="87">
        <f>$A16+1</f>
        <v>15</v>
      </c>
    </row>
    <row r="18" spans="1:17" ht="12.75">
      <c r="A18" s="87">
        <f>$A17+1</f>
        <v>16</v>
      </c>
      <c r="B18" s="57">
        <v>292</v>
      </c>
      <c r="C18" s="57">
        <v>292</v>
      </c>
      <c r="D18" s="59">
        <v>292</v>
      </c>
      <c r="E18" s="59">
        <v>467</v>
      </c>
      <c r="F18" s="59">
        <v>334</v>
      </c>
      <c r="G18" s="59">
        <v>485</v>
      </c>
      <c r="H18" s="59">
        <v>69</v>
      </c>
      <c r="I18" s="59">
        <v>69</v>
      </c>
      <c r="J18" s="57">
        <v>1331</v>
      </c>
      <c r="K18" s="57">
        <v>334</v>
      </c>
      <c r="L18" s="59">
        <v>334</v>
      </c>
      <c r="M18" s="36">
        <v>2169</v>
      </c>
      <c r="N18" s="36">
        <v>3498</v>
      </c>
      <c r="O18" s="36">
        <v>3498</v>
      </c>
      <c r="P18" s="57">
        <v>12568</v>
      </c>
      <c r="Q18" s="87">
        <f>$A17+1</f>
        <v>16</v>
      </c>
    </row>
    <row r="19" spans="1:17" ht="12.75">
      <c r="A19" s="87">
        <f>$A18+1</f>
        <v>17</v>
      </c>
      <c r="B19" s="57">
        <v>342</v>
      </c>
      <c r="C19" s="57">
        <v>342</v>
      </c>
      <c r="D19" s="59">
        <v>342</v>
      </c>
      <c r="E19" s="59">
        <v>553</v>
      </c>
      <c r="F19" s="59">
        <v>396</v>
      </c>
      <c r="G19" s="59">
        <v>571</v>
      </c>
      <c r="H19" s="59">
        <v>81</v>
      </c>
      <c r="I19" s="59">
        <v>81</v>
      </c>
      <c r="J19" s="57">
        <v>1578</v>
      </c>
      <c r="K19" s="57">
        <v>396</v>
      </c>
      <c r="L19" s="59">
        <v>396</v>
      </c>
      <c r="M19" s="36">
        <v>2528</v>
      </c>
      <c r="N19" s="36">
        <v>4238</v>
      </c>
      <c r="O19" s="36">
        <v>4238</v>
      </c>
      <c r="P19" s="57">
        <v>16088</v>
      </c>
      <c r="Q19" s="87">
        <f>$A18+1</f>
        <v>17</v>
      </c>
    </row>
    <row r="20" spans="1:17" ht="12.75">
      <c r="A20" s="87">
        <f>$A19+1</f>
        <v>18</v>
      </c>
      <c r="B20" s="57">
        <v>400</v>
      </c>
      <c r="C20" s="57">
        <v>400</v>
      </c>
      <c r="D20" s="59">
        <v>400</v>
      </c>
      <c r="E20" s="59">
        <v>654</v>
      </c>
      <c r="F20" s="59">
        <v>468</v>
      </c>
      <c r="G20" s="59">
        <v>671</v>
      </c>
      <c r="H20" s="59">
        <v>95</v>
      </c>
      <c r="I20" s="59">
        <v>95</v>
      </c>
      <c r="J20" s="57">
        <v>1867</v>
      </c>
      <c r="K20" s="57">
        <v>468</v>
      </c>
      <c r="L20" s="59">
        <v>468</v>
      </c>
      <c r="M20" s="36">
        <v>2940</v>
      </c>
      <c r="N20" s="36">
        <v>5125</v>
      </c>
      <c r="O20" s="36">
        <v>5125</v>
      </c>
      <c r="P20" s="57">
        <v>20593</v>
      </c>
      <c r="Q20" s="87">
        <f>$A19+1</f>
        <v>18</v>
      </c>
    </row>
    <row r="21" spans="1:17" ht="12.75">
      <c r="A21" s="87">
        <f>$A20+1</f>
        <v>19</v>
      </c>
      <c r="B21" s="57">
        <v>467</v>
      </c>
      <c r="C21" s="57">
        <v>467</v>
      </c>
      <c r="D21" s="59">
        <v>467</v>
      </c>
      <c r="E21" s="59">
        <v>772</v>
      </c>
      <c r="F21" s="59">
        <v>552</v>
      </c>
      <c r="G21" s="59">
        <v>787</v>
      </c>
      <c r="H21" s="59">
        <v>112</v>
      </c>
      <c r="I21" s="59">
        <v>112</v>
      </c>
      <c r="J21" s="57">
        <v>2205</v>
      </c>
      <c r="K21" s="57">
        <v>552</v>
      </c>
      <c r="L21" s="59">
        <v>552</v>
      </c>
      <c r="M21" s="36">
        <v>3412</v>
      </c>
      <c r="N21" s="36">
        <v>6190</v>
      </c>
      <c r="O21" s="36">
        <v>6190</v>
      </c>
      <c r="P21" s="57">
        <v>26360</v>
      </c>
      <c r="Q21" s="87">
        <f>$A20+1</f>
        <v>19</v>
      </c>
    </row>
    <row r="22" spans="1:17" ht="12.75">
      <c r="A22" s="87">
        <f>$A21+1</f>
        <v>20</v>
      </c>
      <c r="B22" s="57">
        <v>544</v>
      </c>
      <c r="C22" s="57">
        <v>544</v>
      </c>
      <c r="D22" s="59">
        <v>544</v>
      </c>
      <c r="E22" s="59">
        <v>910</v>
      </c>
      <c r="F22" s="59">
        <v>651</v>
      </c>
      <c r="G22" s="59">
        <v>921</v>
      </c>
      <c r="H22" s="59">
        <v>132</v>
      </c>
      <c r="I22" s="59">
        <v>132</v>
      </c>
      <c r="J22" s="57">
        <v>2600</v>
      </c>
      <c r="K22" s="57">
        <v>651</v>
      </c>
      <c r="L22" s="59">
        <v>651</v>
      </c>
      <c r="M22" s="36">
        <v>3954</v>
      </c>
      <c r="N22" s="36">
        <v>7468</v>
      </c>
      <c r="O22" s="36">
        <v>7468</v>
      </c>
      <c r="P22" s="57">
        <v>33741</v>
      </c>
      <c r="Q22" s="87">
        <f>$A21+1</f>
        <v>20</v>
      </c>
    </row>
    <row r="23" spans="1:17" ht="12.75">
      <c r="A23" s="87">
        <f>$A22+1</f>
        <v>21</v>
      </c>
      <c r="B23" s="57">
        <v>633</v>
      </c>
      <c r="C23" s="57">
        <v>633</v>
      </c>
      <c r="D23" s="59">
        <v>633</v>
      </c>
      <c r="E23" s="59">
        <v>1072</v>
      </c>
      <c r="F23" s="59">
        <v>767</v>
      </c>
      <c r="G23" s="59">
        <v>1077</v>
      </c>
      <c r="H23" s="59">
        <v>155</v>
      </c>
      <c r="I23" s="59">
        <v>155</v>
      </c>
      <c r="J23" s="57">
        <v>3062</v>
      </c>
      <c r="K23" s="57">
        <v>767</v>
      </c>
      <c r="L23" s="59">
        <v>767</v>
      </c>
      <c r="M23" s="36">
        <v>4575</v>
      </c>
      <c r="N23" s="36">
        <v>9002</v>
      </c>
      <c r="O23" s="36">
        <v>9002</v>
      </c>
      <c r="P23" s="57">
        <v>43189</v>
      </c>
      <c r="Q23" s="87">
        <f>$A22+1</f>
        <v>21</v>
      </c>
    </row>
    <row r="24" spans="1:17" ht="12.75">
      <c r="A24" s="87">
        <f>$A23+1</f>
        <v>22</v>
      </c>
      <c r="B24" s="57">
        <v>736</v>
      </c>
      <c r="C24" s="57">
        <v>736</v>
      </c>
      <c r="D24" s="59">
        <v>736</v>
      </c>
      <c r="E24" s="59">
        <v>1261</v>
      </c>
      <c r="F24" s="59">
        <v>902</v>
      </c>
      <c r="G24" s="59">
        <v>1258</v>
      </c>
      <c r="H24" s="59">
        <v>182</v>
      </c>
      <c r="I24" s="59">
        <v>182</v>
      </c>
      <c r="J24" s="57">
        <v>3603</v>
      </c>
      <c r="K24" s="57">
        <v>902</v>
      </c>
      <c r="L24" s="59">
        <v>902</v>
      </c>
      <c r="M24" s="36">
        <v>5288</v>
      </c>
      <c r="N24" s="36">
        <v>10842</v>
      </c>
      <c r="O24" s="36">
        <v>10842</v>
      </c>
      <c r="P24" s="57">
        <v>55282</v>
      </c>
      <c r="Q24" s="87">
        <f>$A23+1</f>
        <v>22</v>
      </c>
    </row>
    <row r="25" spans="1:17" ht="12.75">
      <c r="A25" s="87">
        <f>$A24+1</f>
        <v>23</v>
      </c>
      <c r="B25" s="57">
        <v>855</v>
      </c>
      <c r="C25" s="57">
        <v>855</v>
      </c>
      <c r="D25" s="59">
        <v>855</v>
      </c>
      <c r="E25" s="59">
        <v>1482</v>
      </c>
      <c r="F25" s="59">
        <v>1060</v>
      </c>
      <c r="G25" s="59">
        <v>1467</v>
      </c>
      <c r="H25" s="59">
        <v>214</v>
      </c>
      <c r="I25" s="59">
        <v>214</v>
      </c>
      <c r="J25" s="57">
        <v>4236</v>
      </c>
      <c r="K25" s="57">
        <v>1060</v>
      </c>
      <c r="L25" s="59">
        <v>1060</v>
      </c>
      <c r="M25" s="36">
        <v>6105</v>
      </c>
      <c r="N25" s="36">
        <v>13050</v>
      </c>
      <c r="O25" s="36">
        <v>13050</v>
      </c>
      <c r="P25" s="57">
        <v>70761</v>
      </c>
      <c r="Q25" s="87">
        <f>$A24+1</f>
        <v>23</v>
      </c>
    </row>
    <row r="26" spans="1:17" ht="12.75">
      <c r="A26" s="87">
        <f>$A25+1</f>
        <v>24</v>
      </c>
      <c r="B26" s="57">
        <v>993</v>
      </c>
      <c r="C26" s="57">
        <v>993</v>
      </c>
      <c r="D26" s="59">
        <v>993</v>
      </c>
      <c r="E26" s="59">
        <v>1741</v>
      </c>
      <c r="F26" s="59">
        <v>1245</v>
      </c>
      <c r="G26" s="59">
        <v>1710</v>
      </c>
      <c r="H26" s="59">
        <v>251</v>
      </c>
      <c r="I26" s="59">
        <v>251</v>
      </c>
      <c r="J26" s="57">
        <v>4976</v>
      </c>
      <c r="K26" s="57">
        <v>1245</v>
      </c>
      <c r="L26" s="59">
        <v>1245</v>
      </c>
      <c r="M26" s="36">
        <v>7043</v>
      </c>
      <c r="N26" s="36">
        <v>15700</v>
      </c>
      <c r="O26" s="36">
        <v>15700</v>
      </c>
      <c r="P26" s="57">
        <v>90575</v>
      </c>
      <c r="Q26" s="87">
        <f>$A25+1</f>
        <v>24</v>
      </c>
    </row>
    <row r="27" spans="1:17" ht="12.75">
      <c r="A27" s="87">
        <f>$A26+1</f>
        <v>25</v>
      </c>
      <c r="B27" s="57">
        <v>1152</v>
      </c>
      <c r="C27" s="57">
        <v>1152</v>
      </c>
      <c r="D27" s="59">
        <v>1152</v>
      </c>
      <c r="E27" s="59">
        <v>2044</v>
      </c>
      <c r="F27" s="59">
        <v>1461</v>
      </c>
      <c r="G27" s="59">
        <v>1992</v>
      </c>
      <c r="H27" s="59">
        <v>294</v>
      </c>
      <c r="I27" s="59">
        <v>294</v>
      </c>
      <c r="J27" s="57">
        <v>5842</v>
      </c>
      <c r="K27" s="57">
        <v>1461</v>
      </c>
      <c r="L27" s="59">
        <v>1461</v>
      </c>
      <c r="M27" s="36">
        <v>8118</v>
      </c>
      <c r="N27" s="36">
        <v>18880</v>
      </c>
      <c r="O27" s="36">
        <v>18880</v>
      </c>
      <c r="P27" s="57">
        <v>84969</v>
      </c>
      <c r="Q27" s="87">
        <f>$A26+1</f>
        <v>25</v>
      </c>
    </row>
    <row r="28" spans="1:17" ht="12.75">
      <c r="A28" s="87">
        <f>$A27+1</f>
        <v>26</v>
      </c>
      <c r="B28" s="57">
        <v>1335</v>
      </c>
      <c r="C28" s="57">
        <v>1335</v>
      </c>
      <c r="D28" s="59">
        <v>1335</v>
      </c>
      <c r="E28" s="59">
        <v>2399</v>
      </c>
      <c r="F28" s="59">
        <v>1714</v>
      </c>
      <c r="G28" s="59">
        <v>2319</v>
      </c>
      <c r="H28" s="59">
        <v>345</v>
      </c>
      <c r="I28" s="59">
        <v>345</v>
      </c>
      <c r="J28" s="57">
        <v>6855</v>
      </c>
      <c r="K28" s="57">
        <v>1714</v>
      </c>
      <c r="L28" s="59">
        <v>1714</v>
      </c>
      <c r="M28" s="36">
        <v>9352</v>
      </c>
      <c r="N28" s="36">
        <v>22696</v>
      </c>
      <c r="O28" s="36">
        <v>22696</v>
      </c>
      <c r="P28" s="57">
        <v>106212</v>
      </c>
      <c r="Q28" s="87">
        <f>$A27+1</f>
        <v>26</v>
      </c>
    </row>
    <row r="29" spans="1:17" ht="12.75">
      <c r="A29" s="87">
        <f>$A28+1</f>
        <v>27</v>
      </c>
      <c r="B29" s="57">
        <v>1547</v>
      </c>
      <c r="C29" s="57">
        <v>1547</v>
      </c>
      <c r="D29" s="59">
        <v>1547</v>
      </c>
      <c r="E29" s="59">
        <v>2814</v>
      </c>
      <c r="F29" s="59">
        <v>2010</v>
      </c>
      <c r="G29" s="59">
        <v>2698</v>
      </c>
      <c r="H29" s="59">
        <v>404</v>
      </c>
      <c r="I29" s="59">
        <v>404</v>
      </c>
      <c r="J29" s="57">
        <v>8040</v>
      </c>
      <c r="K29" s="57">
        <v>2010</v>
      </c>
      <c r="L29" s="59">
        <v>2010</v>
      </c>
      <c r="M29" s="36">
        <v>10767</v>
      </c>
      <c r="N29" s="36">
        <v>27275</v>
      </c>
      <c r="O29" s="36">
        <v>27275</v>
      </c>
      <c r="P29" s="57">
        <v>132765</v>
      </c>
      <c r="Q29" s="87">
        <f>$A28+1</f>
        <v>27</v>
      </c>
    </row>
    <row r="30" spans="1:17" ht="12.75">
      <c r="A30" s="87">
        <f>$A29+1</f>
        <v>28</v>
      </c>
      <c r="B30" s="57">
        <v>1792</v>
      </c>
      <c r="C30" s="57">
        <v>1792</v>
      </c>
      <c r="D30" s="59">
        <v>1792</v>
      </c>
      <c r="E30" s="59">
        <v>3299</v>
      </c>
      <c r="F30" s="59">
        <v>2357</v>
      </c>
      <c r="G30" s="59">
        <v>3138</v>
      </c>
      <c r="H30" s="59">
        <v>473</v>
      </c>
      <c r="I30" s="59">
        <v>473</v>
      </c>
      <c r="J30" s="57">
        <v>9427</v>
      </c>
      <c r="K30" s="57">
        <v>2357</v>
      </c>
      <c r="L30" s="59">
        <v>2357</v>
      </c>
      <c r="M30" s="36">
        <v>12390</v>
      </c>
      <c r="N30" s="36">
        <v>32770</v>
      </c>
      <c r="O30" s="36">
        <v>32770</v>
      </c>
      <c r="P30" s="57">
        <v>165957</v>
      </c>
      <c r="Q30" s="87">
        <f>$A29+1</f>
        <v>28</v>
      </c>
    </row>
    <row r="31" spans="1:17" ht="12.75">
      <c r="A31" s="87">
        <f>$A30+1</f>
        <v>29</v>
      </c>
      <c r="B31" s="57">
        <v>2075</v>
      </c>
      <c r="C31" s="57">
        <v>2075</v>
      </c>
      <c r="D31" s="59">
        <v>2075</v>
      </c>
      <c r="E31" s="59">
        <v>3867</v>
      </c>
      <c r="F31" s="59">
        <v>2763</v>
      </c>
      <c r="G31" s="59">
        <v>3648</v>
      </c>
      <c r="H31" s="59">
        <v>554</v>
      </c>
      <c r="I31" s="59">
        <v>554</v>
      </c>
      <c r="J31" s="57">
        <v>11050</v>
      </c>
      <c r="K31" s="57">
        <v>2763</v>
      </c>
      <c r="L31" s="59">
        <v>2763</v>
      </c>
      <c r="M31" s="36">
        <v>14251</v>
      </c>
      <c r="N31" s="36">
        <v>39364</v>
      </c>
      <c r="O31" s="36">
        <v>39364</v>
      </c>
      <c r="P31" s="57">
        <v>311217</v>
      </c>
      <c r="Q31" s="87">
        <f>$A30+1</f>
        <v>29</v>
      </c>
    </row>
    <row r="32" spans="1:17" ht="12.75">
      <c r="A32" s="87">
        <f>$A31+1</f>
        <v>30</v>
      </c>
      <c r="B32" s="57">
        <v>2401</v>
      </c>
      <c r="C32" s="57">
        <v>2401</v>
      </c>
      <c r="D32" s="59">
        <v>2401</v>
      </c>
      <c r="E32" s="59">
        <v>4531</v>
      </c>
      <c r="F32" s="59">
        <v>3238</v>
      </c>
      <c r="G32" s="59">
        <v>4240</v>
      </c>
      <c r="H32" s="59">
        <v>649</v>
      </c>
      <c r="I32" s="59">
        <v>649</v>
      </c>
      <c r="J32" s="57">
        <v>12949</v>
      </c>
      <c r="K32" s="57">
        <v>3238</v>
      </c>
      <c r="L32" s="59">
        <v>3238</v>
      </c>
      <c r="M32" s="42">
        <v>16386</v>
      </c>
      <c r="N32" s="36">
        <v>47277</v>
      </c>
      <c r="O32" s="36">
        <v>47277</v>
      </c>
      <c r="P32" s="57">
        <v>398358</v>
      </c>
      <c r="Q32" s="87">
        <f>$A31+1</f>
        <v>30</v>
      </c>
    </row>
    <row r="33" spans="1:17" ht="12.75">
      <c r="A33" s="87">
        <f>$A32+1</f>
        <v>31</v>
      </c>
      <c r="B33" s="57">
        <v>2778</v>
      </c>
      <c r="C33" s="57">
        <v>2778</v>
      </c>
      <c r="D33" s="59">
        <v>2778</v>
      </c>
      <c r="E33" s="59">
        <v>5308</v>
      </c>
      <c r="F33" s="59">
        <v>3793</v>
      </c>
      <c r="G33" s="59">
        <v>4927</v>
      </c>
      <c r="H33" s="59">
        <v>760</v>
      </c>
      <c r="I33" s="59">
        <v>760</v>
      </c>
      <c r="J33" s="57">
        <v>15170</v>
      </c>
      <c r="K33" s="57">
        <v>3793</v>
      </c>
      <c r="L33" s="57">
        <v>3793</v>
      </c>
      <c r="N33" s="36">
        <v>56772</v>
      </c>
      <c r="O33" s="36">
        <v>56772</v>
      </c>
      <c r="P33" s="57">
        <v>509899</v>
      </c>
      <c r="Q33" s="87">
        <f>$A32+1</f>
        <v>31</v>
      </c>
    </row>
    <row r="34" spans="1:17" ht="12.75">
      <c r="A34" s="87">
        <f>$A33+1</f>
        <v>32</v>
      </c>
      <c r="B34" s="57">
        <v>3214</v>
      </c>
      <c r="C34" s="57">
        <v>3214</v>
      </c>
      <c r="D34" s="59">
        <v>3214</v>
      </c>
      <c r="E34" s="59">
        <v>6218</v>
      </c>
      <c r="F34" s="59">
        <v>4443</v>
      </c>
      <c r="G34" s="59">
        <v>5724</v>
      </c>
      <c r="H34" s="59">
        <v>890</v>
      </c>
      <c r="I34" s="59">
        <v>890</v>
      </c>
      <c r="J34" s="57">
        <v>17769</v>
      </c>
      <c r="K34" s="57">
        <v>4443</v>
      </c>
      <c r="L34" s="57">
        <v>4443</v>
      </c>
      <c r="N34" s="36">
        <v>68166</v>
      </c>
      <c r="O34" s="36">
        <v>68166</v>
      </c>
      <c r="P34" s="57">
        <v>652671</v>
      </c>
      <c r="Q34" s="87">
        <f>$A33+1</f>
        <v>32</v>
      </c>
    </row>
    <row r="35" spans="1:17" ht="12.75">
      <c r="A35" s="87">
        <f>$A34+1</f>
        <v>33</v>
      </c>
      <c r="B35" s="57">
        <v>3717</v>
      </c>
      <c r="C35" s="57">
        <v>3717</v>
      </c>
      <c r="D35" s="59">
        <v>3717</v>
      </c>
      <c r="E35" s="59">
        <v>7282</v>
      </c>
      <c r="F35" s="59">
        <v>5203</v>
      </c>
      <c r="G35" s="59">
        <v>6648</v>
      </c>
      <c r="H35" s="59">
        <v>1042</v>
      </c>
      <c r="I35" s="59">
        <v>1042</v>
      </c>
      <c r="J35" s="57">
        <v>20810</v>
      </c>
      <c r="K35" s="57">
        <v>5203</v>
      </c>
      <c r="L35" s="57">
        <v>5203</v>
      </c>
      <c r="N35" s="36">
        <v>81839</v>
      </c>
      <c r="O35" s="36">
        <v>81839</v>
      </c>
      <c r="P35" s="57">
        <v>835419</v>
      </c>
      <c r="Q35" s="87">
        <f>$A34+1</f>
        <v>33</v>
      </c>
    </row>
    <row r="36" spans="1:17" ht="12.75">
      <c r="A36" s="87">
        <f>$A35+1</f>
        <v>34</v>
      </c>
      <c r="B36" s="57">
        <v>4298</v>
      </c>
      <c r="C36" s="57">
        <v>4298</v>
      </c>
      <c r="D36" s="59">
        <v>4298</v>
      </c>
      <c r="E36" s="59">
        <v>8527</v>
      </c>
      <c r="F36" s="59">
        <v>6092</v>
      </c>
      <c r="G36" s="59">
        <v>7720</v>
      </c>
      <c r="H36" s="59">
        <v>1220</v>
      </c>
      <c r="I36" s="59">
        <v>1220</v>
      </c>
      <c r="J36" s="57">
        <v>24368</v>
      </c>
      <c r="K36" s="57">
        <v>6092</v>
      </c>
      <c r="L36" s="57">
        <v>6092</v>
      </c>
      <c r="N36" s="42">
        <v>98246</v>
      </c>
      <c r="O36" s="42">
        <v>98246</v>
      </c>
      <c r="P36" s="57">
        <v>1069337</v>
      </c>
      <c r="Q36" s="87">
        <f>$A35+1</f>
        <v>34</v>
      </c>
    </row>
    <row r="37" spans="1:17" ht="12.75">
      <c r="A37" s="87">
        <f>$A36+1</f>
        <v>35</v>
      </c>
      <c r="B37" s="57">
        <v>4969</v>
      </c>
      <c r="C37" s="57">
        <v>4969</v>
      </c>
      <c r="D37" s="59">
        <v>4969</v>
      </c>
      <c r="E37" s="59">
        <v>9984</v>
      </c>
      <c r="F37" s="59">
        <v>7133</v>
      </c>
      <c r="G37" s="59">
        <v>8964</v>
      </c>
      <c r="H37" s="59">
        <v>1428</v>
      </c>
      <c r="I37" s="59">
        <v>1428</v>
      </c>
      <c r="J37" s="57">
        <v>28530</v>
      </c>
      <c r="K37" s="57">
        <v>7133</v>
      </c>
      <c r="L37" s="57">
        <v>7133</v>
      </c>
      <c r="P37" s="57">
        <v>1368752</v>
      </c>
      <c r="Q37" s="87">
        <f>$A36+1</f>
        <v>35</v>
      </c>
    </row>
    <row r="38" spans="1:17" ht="12.75">
      <c r="A38" s="87">
        <f>$A37+1</f>
        <v>36</v>
      </c>
      <c r="B38" s="57">
        <v>5744</v>
      </c>
      <c r="C38" s="57">
        <v>5744</v>
      </c>
      <c r="D38" s="59">
        <v>5744</v>
      </c>
      <c r="E38" s="59">
        <v>11689</v>
      </c>
      <c r="F38" s="59">
        <v>8351</v>
      </c>
      <c r="G38" s="59">
        <v>10407</v>
      </c>
      <c r="H38" s="59">
        <v>1672</v>
      </c>
      <c r="I38" s="59">
        <v>1672</v>
      </c>
      <c r="J38" s="57">
        <v>33400</v>
      </c>
      <c r="K38" s="57">
        <v>8351</v>
      </c>
      <c r="L38" s="57">
        <v>8351</v>
      </c>
      <c r="P38" s="57">
        <v>1752003</v>
      </c>
      <c r="Q38" s="87">
        <f>$A37+1</f>
        <v>36</v>
      </c>
    </row>
    <row r="39" spans="1:17" ht="12.75">
      <c r="A39" s="87">
        <f>$A38+1</f>
        <v>37</v>
      </c>
      <c r="B39" s="57">
        <v>6639</v>
      </c>
      <c r="C39" s="57">
        <v>6639</v>
      </c>
      <c r="D39" s="59">
        <v>6639</v>
      </c>
      <c r="E39" s="59">
        <v>13683</v>
      </c>
      <c r="F39" s="59">
        <v>9775</v>
      </c>
      <c r="G39" s="59">
        <v>12080</v>
      </c>
      <c r="H39" s="59">
        <v>1957</v>
      </c>
      <c r="I39" s="59">
        <v>1957</v>
      </c>
      <c r="J39" s="57">
        <v>39098</v>
      </c>
      <c r="K39" s="57">
        <v>9775</v>
      </c>
      <c r="L39" s="57">
        <v>9775</v>
      </c>
      <c r="P39" s="57">
        <v>2242564</v>
      </c>
      <c r="Q39" s="87">
        <f>$A38+1</f>
        <v>37</v>
      </c>
    </row>
    <row r="40" spans="1:17" ht="12.75">
      <c r="A40" s="87">
        <f>$A39+1</f>
        <v>38</v>
      </c>
      <c r="B40" s="57">
        <v>7673</v>
      </c>
      <c r="C40" s="57">
        <v>7673</v>
      </c>
      <c r="D40" s="59">
        <v>7673</v>
      </c>
      <c r="E40" s="59">
        <v>16016</v>
      </c>
      <c r="F40" s="59">
        <v>11442</v>
      </c>
      <c r="G40" s="59">
        <v>14021</v>
      </c>
      <c r="H40" s="59">
        <v>2290</v>
      </c>
      <c r="I40" s="59">
        <v>2290</v>
      </c>
      <c r="J40" s="57">
        <v>45765</v>
      </c>
      <c r="K40" s="57">
        <v>11442</v>
      </c>
      <c r="L40" s="57">
        <v>11442</v>
      </c>
      <c r="P40" s="57">
        <v>2870482</v>
      </c>
      <c r="Q40" s="87">
        <f>$A39+1</f>
        <v>38</v>
      </c>
    </row>
    <row r="41" spans="1:17" ht="12.75">
      <c r="A41" s="87">
        <f>$A40+1</f>
        <v>39</v>
      </c>
      <c r="B41" s="57">
        <v>8867</v>
      </c>
      <c r="C41" s="57">
        <v>8867</v>
      </c>
      <c r="D41" s="59">
        <v>8867</v>
      </c>
      <c r="E41" s="59">
        <v>18746</v>
      </c>
      <c r="F41" s="59">
        <v>13392</v>
      </c>
      <c r="G41" s="59">
        <v>16273</v>
      </c>
      <c r="H41" s="59">
        <v>2680</v>
      </c>
      <c r="I41" s="59">
        <v>2680</v>
      </c>
      <c r="J41" s="57">
        <v>53565</v>
      </c>
      <c r="K41" s="57">
        <v>13392</v>
      </c>
      <c r="L41" s="57">
        <v>13392</v>
      </c>
      <c r="P41" s="57">
        <v>3674217</v>
      </c>
      <c r="Q41" s="87">
        <f>$A40+1</f>
        <v>39</v>
      </c>
    </row>
    <row r="42" spans="1:17" ht="12.75">
      <c r="A42" s="87">
        <f>$A41+1</f>
        <v>40</v>
      </c>
      <c r="B42" s="57">
        <v>10246</v>
      </c>
      <c r="C42" s="57">
        <v>10246</v>
      </c>
      <c r="D42" s="59">
        <v>10246</v>
      </c>
      <c r="E42" s="59">
        <v>21940</v>
      </c>
      <c r="F42" s="59">
        <v>15673</v>
      </c>
      <c r="G42" s="59">
        <v>18885</v>
      </c>
      <c r="H42" s="59">
        <v>3136</v>
      </c>
      <c r="I42" s="59">
        <v>3136</v>
      </c>
      <c r="J42" s="57">
        <v>62691</v>
      </c>
      <c r="K42" s="57">
        <v>15673</v>
      </c>
      <c r="L42" s="57">
        <v>15673</v>
      </c>
      <c r="P42" s="57">
        <v>4702998</v>
      </c>
      <c r="Q42" s="87">
        <f>$A41+1</f>
        <v>40</v>
      </c>
    </row>
    <row r="43" spans="1:17" ht="12.75">
      <c r="A43" s="87">
        <f>$A42+1</f>
        <v>41</v>
      </c>
      <c r="B43" s="57">
        <v>11839</v>
      </c>
      <c r="C43" s="57">
        <v>11839</v>
      </c>
      <c r="D43" s="59">
        <v>11839</v>
      </c>
      <c r="E43" s="59">
        <v>25677</v>
      </c>
      <c r="F43" s="59">
        <v>18342</v>
      </c>
      <c r="G43" s="59">
        <v>21915</v>
      </c>
      <c r="H43" s="59">
        <v>3670</v>
      </c>
      <c r="I43" s="59">
        <v>3670</v>
      </c>
      <c r="J43" s="57">
        <v>73368</v>
      </c>
      <c r="K43" s="57">
        <v>18342</v>
      </c>
      <c r="L43" s="57">
        <v>18342</v>
      </c>
      <c r="P43" s="57">
        <v>6019838</v>
      </c>
      <c r="Q43" s="87">
        <f>$A42+1</f>
        <v>41</v>
      </c>
    </row>
    <row r="44" spans="1:17" ht="12.75">
      <c r="A44" s="87">
        <f>$A43+1</f>
        <v>42</v>
      </c>
      <c r="B44" s="57">
        <v>13679</v>
      </c>
      <c r="C44" s="57">
        <v>13679</v>
      </c>
      <c r="D44" s="59">
        <v>13679</v>
      </c>
      <c r="E44" s="59">
        <v>30049</v>
      </c>
      <c r="F44" s="59">
        <v>21465</v>
      </c>
      <c r="G44" s="59">
        <v>25430</v>
      </c>
      <c r="H44" s="59">
        <v>4295</v>
      </c>
      <c r="I44" s="59">
        <v>4295</v>
      </c>
      <c r="J44" s="57">
        <v>85861</v>
      </c>
      <c r="K44" s="57">
        <v>21465</v>
      </c>
      <c r="L44" s="57">
        <v>21465</v>
      </c>
      <c r="P44" s="57">
        <v>7705393</v>
      </c>
      <c r="Q44" s="87">
        <f>$A43+1</f>
        <v>42</v>
      </c>
    </row>
    <row r="45" spans="1:17" ht="12.75">
      <c r="A45" s="87">
        <f>$A44+1</f>
        <v>43</v>
      </c>
      <c r="B45" s="57">
        <v>15804</v>
      </c>
      <c r="C45" s="57">
        <v>15804</v>
      </c>
      <c r="D45" s="59">
        <v>15804</v>
      </c>
      <c r="E45" s="59">
        <v>35165</v>
      </c>
      <c r="F45" s="59">
        <v>25119</v>
      </c>
      <c r="G45" s="59">
        <v>29507</v>
      </c>
      <c r="H45" s="59">
        <v>5026</v>
      </c>
      <c r="I45" s="59">
        <v>5026</v>
      </c>
      <c r="J45" s="57">
        <v>100477</v>
      </c>
      <c r="K45" s="57">
        <v>25119</v>
      </c>
      <c r="L45" s="57">
        <v>25119</v>
      </c>
      <c r="P45" s="57">
        <v>9862904</v>
      </c>
      <c r="Q45" s="87">
        <f>$A44+1</f>
        <v>43</v>
      </c>
    </row>
    <row r="46" spans="1:17" ht="12.75">
      <c r="A46" s="87">
        <f>$A45+1</f>
        <v>44</v>
      </c>
      <c r="B46" s="57">
        <v>18259</v>
      </c>
      <c r="C46" s="57">
        <v>18259</v>
      </c>
      <c r="D46" s="59">
        <v>18259</v>
      </c>
      <c r="E46" s="59">
        <v>41150</v>
      </c>
      <c r="F46" s="59">
        <v>29394</v>
      </c>
      <c r="G46" s="59">
        <v>34236</v>
      </c>
      <c r="H46" s="59">
        <v>5881</v>
      </c>
      <c r="I46" s="59">
        <v>5881</v>
      </c>
      <c r="J46" s="57">
        <v>117578</v>
      </c>
      <c r="K46" s="57">
        <v>29394</v>
      </c>
      <c r="L46" s="57">
        <v>29394</v>
      </c>
      <c r="P46" s="57">
        <v>12624518</v>
      </c>
      <c r="Q46" s="87">
        <f>$A45+1</f>
        <v>44</v>
      </c>
    </row>
    <row r="47" spans="1:17" ht="12.75">
      <c r="A47" s="87">
        <f>$A46+1</f>
        <v>45</v>
      </c>
      <c r="B47" s="57">
        <v>21094</v>
      </c>
      <c r="C47" s="57">
        <v>21094</v>
      </c>
      <c r="D47" s="59">
        <v>21094</v>
      </c>
      <c r="E47" s="59">
        <v>48153</v>
      </c>
      <c r="F47" s="59">
        <v>34396</v>
      </c>
      <c r="G47" s="59">
        <v>39722</v>
      </c>
      <c r="H47" s="59">
        <v>6881</v>
      </c>
      <c r="I47" s="59">
        <v>6881</v>
      </c>
      <c r="J47" s="57">
        <v>137586</v>
      </c>
      <c r="K47" s="57">
        <v>34396</v>
      </c>
      <c r="L47" s="57">
        <v>34396</v>
      </c>
      <c r="P47" s="57">
        <v>16159384</v>
      </c>
      <c r="Q47" s="87">
        <f>$A46+1</f>
        <v>45</v>
      </c>
    </row>
    <row r="48" spans="1:17" ht="12.75">
      <c r="A48" s="87">
        <f>$A47+1</f>
        <v>46</v>
      </c>
      <c r="B48" s="57">
        <v>24369</v>
      </c>
      <c r="C48" s="57">
        <v>24369</v>
      </c>
      <c r="D48" s="59">
        <v>24369</v>
      </c>
      <c r="E48" s="59">
        <v>56346</v>
      </c>
      <c r="F48" s="59">
        <v>40248</v>
      </c>
      <c r="G48" s="59">
        <v>46086</v>
      </c>
      <c r="H48" s="59">
        <v>8051</v>
      </c>
      <c r="I48" s="59">
        <v>8051</v>
      </c>
      <c r="J48" s="57">
        <v>160996</v>
      </c>
      <c r="K48" s="57">
        <v>40248</v>
      </c>
      <c r="L48" s="57">
        <v>40248</v>
      </c>
      <c r="P48" s="57">
        <v>20684012</v>
      </c>
      <c r="Q48" s="87">
        <f>$A47+1</f>
        <v>46</v>
      </c>
    </row>
    <row r="49" spans="1:17" ht="12.75">
      <c r="A49" s="87">
        <f>$A48+1</f>
        <v>47</v>
      </c>
      <c r="B49" s="57">
        <v>28151</v>
      </c>
      <c r="C49" s="57">
        <v>28151</v>
      </c>
      <c r="D49" s="59">
        <v>28151</v>
      </c>
      <c r="E49" s="59">
        <v>65932</v>
      </c>
      <c r="F49" s="59">
        <v>47095</v>
      </c>
      <c r="G49" s="59">
        <v>53468</v>
      </c>
      <c r="H49" s="59">
        <v>9420</v>
      </c>
      <c r="I49" s="59">
        <v>9420</v>
      </c>
      <c r="J49" s="57">
        <v>188385</v>
      </c>
      <c r="K49" s="57">
        <v>47095</v>
      </c>
      <c r="L49" s="57">
        <v>47095</v>
      </c>
      <c r="P49" s="57">
        <v>26475536</v>
      </c>
      <c r="Q49" s="87">
        <f>$A48+1</f>
        <v>47</v>
      </c>
    </row>
    <row r="50" spans="1:17" ht="12.75">
      <c r="A50" s="87">
        <f>$A49+1</f>
        <v>48</v>
      </c>
      <c r="B50" s="57">
        <v>32519</v>
      </c>
      <c r="C50" s="57">
        <v>32519</v>
      </c>
      <c r="D50" s="59">
        <v>32519</v>
      </c>
      <c r="E50" s="59">
        <v>77148</v>
      </c>
      <c r="F50" s="59">
        <v>55106</v>
      </c>
      <c r="G50" s="59">
        <v>62031</v>
      </c>
      <c r="H50" s="59">
        <v>11022</v>
      </c>
      <c r="I50" s="59">
        <v>11022</v>
      </c>
      <c r="J50" s="57">
        <v>220430</v>
      </c>
      <c r="K50" s="57">
        <v>55106</v>
      </c>
      <c r="L50" s="57">
        <v>55106</v>
      </c>
      <c r="P50" s="57">
        <v>33888687</v>
      </c>
      <c r="Q50" s="87">
        <f>$A49+1</f>
        <v>48</v>
      </c>
    </row>
    <row r="51" spans="1:17" ht="12.75">
      <c r="A51" s="87">
        <f>$A50+1</f>
        <v>49</v>
      </c>
      <c r="B51" s="57">
        <v>37565</v>
      </c>
      <c r="C51" s="57">
        <v>37565</v>
      </c>
      <c r="D51" s="59">
        <v>37565</v>
      </c>
      <c r="E51" s="59">
        <v>90271</v>
      </c>
      <c r="F51" s="59">
        <v>64479</v>
      </c>
      <c r="G51" s="59">
        <v>71964</v>
      </c>
      <c r="H51" s="59">
        <v>12897</v>
      </c>
      <c r="I51" s="59">
        <v>12897</v>
      </c>
      <c r="J51" s="57">
        <v>257923</v>
      </c>
      <c r="K51" s="57">
        <v>64479</v>
      </c>
      <c r="L51" s="57">
        <v>64479</v>
      </c>
      <c r="P51" s="57">
        <v>43377520</v>
      </c>
      <c r="Q51" s="87">
        <f>$A50+1</f>
        <v>49</v>
      </c>
    </row>
    <row r="52" spans="1:17" ht="12.75">
      <c r="A52" s="87">
        <f>$A51+1</f>
        <v>50</v>
      </c>
      <c r="B52" s="57">
        <v>43393</v>
      </c>
      <c r="C52" s="57">
        <v>43393</v>
      </c>
      <c r="D52" s="59">
        <v>43393</v>
      </c>
      <c r="E52" s="59">
        <v>105624</v>
      </c>
      <c r="F52" s="59">
        <v>75446</v>
      </c>
      <c r="G52" s="59">
        <v>83486</v>
      </c>
      <c r="H52" s="59">
        <v>15090</v>
      </c>
      <c r="I52" s="59">
        <v>15090</v>
      </c>
      <c r="J52" s="57">
        <v>301790</v>
      </c>
      <c r="K52" s="57">
        <v>75446</v>
      </c>
      <c r="L52" s="57">
        <v>75446</v>
      </c>
      <c r="P52" s="57">
        <v>55523226</v>
      </c>
      <c r="Q52" s="87">
        <f>$A51+1</f>
        <v>50</v>
      </c>
    </row>
    <row r="53" spans="1:17" ht="12.75">
      <c r="A53" s="87">
        <f>$A52+1</f>
        <v>51</v>
      </c>
      <c r="B53" s="57">
        <v>50124</v>
      </c>
      <c r="C53" s="57">
        <v>50124</v>
      </c>
      <c r="D53" s="59">
        <v>50124</v>
      </c>
      <c r="E53" s="59">
        <v>123588</v>
      </c>
      <c r="F53" s="59">
        <v>88277</v>
      </c>
      <c r="G53" s="59">
        <v>96852</v>
      </c>
      <c r="H53" s="59">
        <v>17656</v>
      </c>
      <c r="I53" s="59">
        <v>17656</v>
      </c>
      <c r="J53" s="57">
        <v>353114</v>
      </c>
      <c r="K53" s="57">
        <v>88277</v>
      </c>
      <c r="L53" s="57">
        <v>88277</v>
      </c>
      <c r="P53" s="57">
        <v>71069730</v>
      </c>
      <c r="Q53" s="87">
        <f>$A52+1</f>
        <v>51</v>
      </c>
    </row>
    <row r="54" spans="1:17" ht="12.75">
      <c r="A54" s="87">
        <f>$A53+1</f>
        <v>52</v>
      </c>
      <c r="B54" s="57">
        <v>57898</v>
      </c>
      <c r="C54" s="57">
        <v>57898</v>
      </c>
      <c r="D54" s="59">
        <v>57898</v>
      </c>
      <c r="E54" s="59">
        <v>144605</v>
      </c>
      <c r="F54" s="59">
        <v>103289</v>
      </c>
      <c r="G54" s="59">
        <v>112356</v>
      </c>
      <c r="H54" s="59">
        <v>20658</v>
      </c>
      <c r="I54" s="59">
        <v>20658</v>
      </c>
      <c r="J54" s="57">
        <v>413163</v>
      </c>
      <c r="K54" s="57">
        <v>103289</v>
      </c>
      <c r="L54" s="57">
        <v>103289</v>
      </c>
      <c r="P54" s="57">
        <v>90969255</v>
      </c>
      <c r="Q54" s="87">
        <f>$A53+1</f>
        <v>52</v>
      </c>
    </row>
    <row r="55" spans="1:17" ht="12.75">
      <c r="A55" s="87">
        <f>$A54+1</f>
        <v>53</v>
      </c>
      <c r="B55" s="57">
        <v>66877</v>
      </c>
      <c r="C55" s="57">
        <v>66877</v>
      </c>
      <c r="D55" s="59">
        <v>66877</v>
      </c>
      <c r="E55" s="59">
        <v>169195</v>
      </c>
      <c r="F55" s="59">
        <v>120853</v>
      </c>
      <c r="G55" s="59">
        <v>130341</v>
      </c>
      <c r="H55" s="59">
        <v>24171</v>
      </c>
      <c r="I55" s="59">
        <v>24171</v>
      </c>
      <c r="J55" s="57">
        <v>483421</v>
      </c>
      <c r="K55" s="57">
        <v>120853</v>
      </c>
      <c r="L55" s="57">
        <v>120853</v>
      </c>
      <c r="P55" s="57">
        <v>116440647</v>
      </c>
      <c r="Q55" s="87">
        <f>$A54+1</f>
        <v>53</v>
      </c>
    </row>
    <row r="56" spans="1:17" ht="12.75">
      <c r="A56" s="87">
        <f>$A55+1</f>
        <v>54</v>
      </c>
      <c r="B56" s="57">
        <v>77248</v>
      </c>
      <c r="C56" s="57">
        <v>77248</v>
      </c>
      <c r="D56" s="59">
        <v>77248</v>
      </c>
      <c r="E56" s="59">
        <v>197966</v>
      </c>
      <c r="F56" s="59">
        <v>141403</v>
      </c>
      <c r="G56" s="59">
        <v>151203</v>
      </c>
      <c r="H56" s="59">
        <v>28281</v>
      </c>
      <c r="I56" s="59">
        <v>28281</v>
      </c>
      <c r="J56" s="57">
        <v>565623</v>
      </c>
      <c r="K56" s="57">
        <v>141403</v>
      </c>
      <c r="L56" s="57">
        <v>141403</v>
      </c>
      <c r="P56" s="57">
        <v>149044029</v>
      </c>
      <c r="Q56" s="87">
        <f>$A55+1</f>
        <v>54</v>
      </c>
    </row>
    <row r="57" spans="1:17" ht="12.75">
      <c r="A57" s="87">
        <f>$A56+1</f>
        <v>55</v>
      </c>
      <c r="B57" s="57">
        <v>89226</v>
      </c>
      <c r="C57" s="57">
        <v>89226</v>
      </c>
      <c r="D57" s="59">
        <v>89226</v>
      </c>
      <c r="E57" s="59">
        <v>231628</v>
      </c>
      <c r="F57" s="59">
        <v>165447</v>
      </c>
      <c r="G57" s="59">
        <v>175403</v>
      </c>
      <c r="H57" s="59">
        <v>33090</v>
      </c>
      <c r="I57" s="59">
        <v>33090</v>
      </c>
      <c r="J57" s="57">
        <v>661799</v>
      </c>
      <c r="K57" s="57">
        <v>165447</v>
      </c>
      <c r="L57" s="57">
        <v>165447</v>
      </c>
      <c r="P57" s="57">
        <v>190776358</v>
      </c>
      <c r="Q57" s="87">
        <f>$A56+1</f>
        <v>55</v>
      </c>
    </row>
    <row r="58" spans="1:17" ht="12.75">
      <c r="A58" s="87">
        <f>$A57+1</f>
        <v>56</v>
      </c>
      <c r="B58" s="57">
        <v>103061</v>
      </c>
      <c r="C58" s="57">
        <v>103061</v>
      </c>
      <c r="D58" s="59">
        <v>103061</v>
      </c>
      <c r="E58" s="59">
        <v>271012</v>
      </c>
      <c r="F58" s="59">
        <v>193578</v>
      </c>
      <c r="G58" s="59">
        <v>203475</v>
      </c>
      <c r="H58" s="59">
        <v>38716</v>
      </c>
      <c r="I58" s="59">
        <v>38716</v>
      </c>
      <c r="J58" s="57">
        <v>774326</v>
      </c>
      <c r="K58" s="57">
        <v>193578</v>
      </c>
      <c r="L58" s="57">
        <v>193578</v>
      </c>
      <c r="P58" s="57">
        <v>244193739</v>
      </c>
      <c r="Q58" s="87">
        <f>$A57+1</f>
        <v>56</v>
      </c>
    </row>
    <row r="59" spans="1:17" ht="12.75">
      <c r="A59" s="87">
        <f>$A58+1</f>
        <v>57</v>
      </c>
      <c r="B59" s="57">
        <v>119040</v>
      </c>
      <c r="C59" s="57">
        <v>119040</v>
      </c>
      <c r="D59" s="59">
        <v>119040</v>
      </c>
      <c r="E59" s="59">
        <v>317091</v>
      </c>
      <c r="F59" s="59">
        <v>226492</v>
      </c>
      <c r="G59" s="59">
        <v>236039</v>
      </c>
      <c r="H59" s="59">
        <v>45299</v>
      </c>
      <c r="I59" s="59">
        <v>45299</v>
      </c>
      <c r="J59" s="57">
        <v>905980</v>
      </c>
      <c r="K59" s="57">
        <v>226492</v>
      </c>
      <c r="L59" s="57">
        <v>226492</v>
      </c>
      <c r="P59" s="57">
        <v>312567986</v>
      </c>
      <c r="Q59" s="87">
        <f>$A58+1</f>
        <v>57</v>
      </c>
    </row>
    <row r="60" spans="1:17" ht="12.75">
      <c r="A60" s="87">
        <f>$A59+1</f>
        <v>58</v>
      </c>
      <c r="B60" s="57">
        <v>137496</v>
      </c>
      <c r="C60" s="57">
        <v>137496</v>
      </c>
      <c r="D60" s="59">
        <v>137496</v>
      </c>
      <c r="E60" s="59">
        <v>371004</v>
      </c>
      <c r="F60" s="59">
        <v>265001</v>
      </c>
      <c r="G60" s="59">
        <v>273813</v>
      </c>
      <c r="H60" s="59">
        <v>53001</v>
      </c>
      <c r="I60" s="59">
        <v>53001</v>
      </c>
      <c r="J60" s="57">
        <v>160017</v>
      </c>
      <c r="K60" s="57">
        <v>265001</v>
      </c>
      <c r="L60" s="57">
        <v>265001</v>
      </c>
      <c r="P60" s="57">
        <v>400087023</v>
      </c>
      <c r="Q60" s="87">
        <f>$A59+1</f>
        <v>58</v>
      </c>
    </row>
    <row r="61" spans="1:17" ht="12.75">
      <c r="A61" s="87">
        <f>$A60+1</f>
        <v>59</v>
      </c>
      <c r="B61" s="57">
        <v>158813</v>
      </c>
      <c r="C61" s="57">
        <v>158813</v>
      </c>
      <c r="D61" s="59">
        <v>158813</v>
      </c>
      <c r="E61" s="59">
        <v>434082</v>
      </c>
      <c r="F61" s="59">
        <v>310057</v>
      </c>
      <c r="G61" s="59">
        <v>317631</v>
      </c>
      <c r="H61" s="59">
        <v>62012</v>
      </c>
      <c r="I61" s="59">
        <v>62012</v>
      </c>
      <c r="J61" s="57">
        <v>1240240</v>
      </c>
      <c r="K61" s="57">
        <v>310057</v>
      </c>
      <c r="L61" s="57">
        <v>310057</v>
      </c>
      <c r="P61" s="57">
        <v>512111390</v>
      </c>
      <c r="Q61" s="87">
        <f>$A60+1</f>
        <v>59</v>
      </c>
    </row>
    <row r="62" spans="1:17" ht="12.75">
      <c r="A62" s="87">
        <f>$A61+1</f>
        <v>60</v>
      </c>
      <c r="B62" s="57">
        <v>183434</v>
      </c>
      <c r="C62" s="57">
        <v>183434</v>
      </c>
      <c r="D62" s="59">
        <v>183434</v>
      </c>
      <c r="E62" s="59">
        <v>507883</v>
      </c>
      <c r="F62" s="59">
        <v>362772</v>
      </c>
      <c r="G62" s="59">
        <v>368460</v>
      </c>
      <c r="H62" s="59">
        <v>72555</v>
      </c>
      <c r="I62" s="59">
        <v>72555</v>
      </c>
      <c r="J62" s="57">
        <v>1451101</v>
      </c>
      <c r="K62" s="57">
        <v>362772</v>
      </c>
      <c r="L62" s="57">
        <v>362772</v>
      </c>
      <c r="P62" s="57">
        <v>655502580</v>
      </c>
      <c r="Q62" s="87">
        <f>$A61+1</f>
        <v>60</v>
      </c>
    </row>
    <row r="63" spans="1:17" ht="12.75">
      <c r="A63" s="87">
        <f>$A62+1</f>
        <v>61</v>
      </c>
      <c r="B63" s="57">
        <v>211871</v>
      </c>
      <c r="C63" s="57">
        <v>211871</v>
      </c>
      <c r="D63" s="59">
        <v>211871</v>
      </c>
      <c r="E63" s="59">
        <v>594230</v>
      </c>
      <c r="F63" s="59">
        <v>424449</v>
      </c>
      <c r="G63" s="59">
        <v>427422</v>
      </c>
      <c r="H63" s="59">
        <v>84890</v>
      </c>
      <c r="I63" s="59">
        <v>84890</v>
      </c>
      <c r="J63" s="57">
        <v>1697808</v>
      </c>
      <c r="K63" s="57">
        <v>424449</v>
      </c>
      <c r="L63" s="57">
        <v>424449</v>
      </c>
      <c r="P63" s="57">
        <v>839043303</v>
      </c>
      <c r="Q63" s="87">
        <f>$A62+1</f>
        <v>61</v>
      </c>
    </row>
    <row r="64" spans="1:17" ht="12.75">
      <c r="A64" s="87">
        <f>$A63+1</f>
        <v>62</v>
      </c>
      <c r="B64" s="57">
        <v>244716</v>
      </c>
      <c r="C64" s="57">
        <v>244716</v>
      </c>
      <c r="D64" s="59">
        <v>244716</v>
      </c>
      <c r="E64" s="59">
        <v>695257</v>
      </c>
      <c r="F64" s="59">
        <v>496611</v>
      </c>
      <c r="G64" s="59">
        <v>495817</v>
      </c>
      <c r="H64" s="59">
        <v>99322</v>
      </c>
      <c r="I64" s="59">
        <v>99322</v>
      </c>
      <c r="J64" s="57">
        <v>1986455</v>
      </c>
      <c r="K64" s="57">
        <v>496611</v>
      </c>
      <c r="L64" s="57">
        <v>496611</v>
      </c>
      <c r="P64" s="57">
        <v>1073975428</v>
      </c>
      <c r="Q64" s="87">
        <f>$A63+1</f>
        <v>62</v>
      </c>
    </row>
    <row r="65" spans="1:17" ht="12.75">
      <c r="A65" s="87">
        <f>$A64+1</f>
        <v>63</v>
      </c>
      <c r="B65" s="57">
        <v>282652</v>
      </c>
      <c r="C65" s="57">
        <v>282652</v>
      </c>
      <c r="D65" s="59">
        <v>282652</v>
      </c>
      <c r="E65" s="59">
        <v>813458</v>
      </c>
      <c r="F65" s="59">
        <v>581040</v>
      </c>
      <c r="G65" s="59">
        <v>575156</v>
      </c>
      <c r="H65" s="59">
        <v>116208</v>
      </c>
      <c r="I65" s="59">
        <v>116208</v>
      </c>
      <c r="J65" s="57">
        <v>2324172</v>
      </c>
      <c r="K65" s="57">
        <v>481040</v>
      </c>
      <c r="L65" s="57">
        <v>571040</v>
      </c>
      <c r="P65" s="57">
        <v>1374688548</v>
      </c>
      <c r="Q65" s="87">
        <f>$A64+1</f>
        <v>63</v>
      </c>
    </row>
    <row r="66" spans="1:17" ht="12.75">
      <c r="A66" s="87">
        <f>$A65+1</f>
        <v>64</v>
      </c>
      <c r="B66" s="57">
        <v>326468</v>
      </c>
      <c r="C66" s="57">
        <v>326468</v>
      </c>
      <c r="D66" s="59">
        <v>326468</v>
      </c>
      <c r="E66" s="59">
        <v>951753</v>
      </c>
      <c r="F66" s="59">
        <v>679822</v>
      </c>
      <c r="G66" s="59">
        <v>667189</v>
      </c>
      <c r="H66" s="59">
        <v>135964</v>
      </c>
      <c r="I66" s="59">
        <v>135964</v>
      </c>
      <c r="J66" s="57">
        <v>2719301</v>
      </c>
      <c r="K66" s="57">
        <v>679822</v>
      </c>
      <c r="L66" s="57">
        <v>679822</v>
      </c>
      <c r="P66" s="57">
        <v>1759601342</v>
      </c>
      <c r="Q66" s="87">
        <f>$A65+1</f>
        <v>64</v>
      </c>
    </row>
    <row r="67" spans="1:17" ht="12.75">
      <c r="A67" s="87">
        <f>$A66+1</f>
        <v>65</v>
      </c>
      <c r="B67" s="57">
        <v>377076</v>
      </c>
      <c r="C67" s="57">
        <v>377076</v>
      </c>
      <c r="D67" s="59">
        <v>377076</v>
      </c>
      <c r="E67" s="59">
        <v>113558</v>
      </c>
      <c r="F67" s="59">
        <v>795397</v>
      </c>
      <c r="G67" s="59">
        <v>773947</v>
      </c>
      <c r="H67" s="59">
        <v>159079</v>
      </c>
      <c r="I67" s="59">
        <v>159079</v>
      </c>
      <c r="J67" s="57">
        <v>3181602</v>
      </c>
      <c r="K67" s="57">
        <v>795397</v>
      </c>
      <c r="L67" s="57">
        <v>795397</v>
      </c>
      <c r="P67" s="57">
        <v>2252289718</v>
      </c>
      <c r="Q67" s="87">
        <f>$A66+1</f>
        <v>65</v>
      </c>
    </row>
    <row r="68" spans="1:17" ht="12.75">
      <c r="A68" s="87">
        <f>$A67+1</f>
        <v>66</v>
      </c>
      <c r="B68" s="57">
        <v>435528</v>
      </c>
      <c r="C68" s="57">
        <v>435528</v>
      </c>
      <c r="D68" s="59">
        <v>435528</v>
      </c>
      <c r="E68" s="59">
        <v>1302870</v>
      </c>
      <c r="F68" s="59">
        <v>930620</v>
      </c>
      <c r="G68" s="59">
        <v>897787</v>
      </c>
      <c r="H68" s="59">
        <v>186124</v>
      </c>
      <c r="I68" s="59">
        <v>186124</v>
      </c>
      <c r="J68" s="57">
        <v>3722495</v>
      </c>
      <c r="K68" s="57">
        <v>930620</v>
      </c>
      <c r="L68" s="57">
        <v>930620</v>
      </c>
      <c r="P68" s="57">
        <v>2882930840</v>
      </c>
      <c r="Q68" s="87">
        <f>$A67+1</f>
        <v>66</v>
      </c>
    </row>
    <row r="69" spans="1:17" ht="12.75">
      <c r="A69" s="87">
        <f>$A68+1</f>
        <v>67</v>
      </c>
      <c r="B69" s="57">
        <v>503040</v>
      </c>
      <c r="C69" s="57">
        <v>503040</v>
      </c>
      <c r="D69" s="59">
        <v>503040</v>
      </c>
      <c r="E69" s="59">
        <v>1524366</v>
      </c>
      <c r="F69" s="59">
        <v>1088831</v>
      </c>
      <c r="G69" s="59">
        <v>1041441</v>
      </c>
      <c r="H69" s="59">
        <v>217766</v>
      </c>
      <c r="I69" s="59">
        <v>217766</v>
      </c>
      <c r="J69" s="57">
        <v>4355339</v>
      </c>
      <c r="K69" s="57">
        <v>1088831</v>
      </c>
      <c r="L69" s="57">
        <v>1088831</v>
      </c>
      <c r="P69" s="57">
        <v>3690151476</v>
      </c>
      <c r="Q69" s="87">
        <f>$A68+1</f>
        <v>67</v>
      </c>
    </row>
    <row r="70" spans="1:17" ht="12.75">
      <c r="A70" s="87">
        <f>$A69+1</f>
        <v>68</v>
      </c>
      <c r="B70" s="57">
        <v>581016</v>
      </c>
      <c r="C70" s="57">
        <v>581016</v>
      </c>
      <c r="D70" s="59">
        <v>581016</v>
      </c>
      <c r="E70" s="59">
        <v>1783516</v>
      </c>
      <c r="F70" s="59">
        <v>1273938</v>
      </c>
      <c r="G70" s="59">
        <v>1208079</v>
      </c>
      <c r="H70" s="59">
        <v>254787</v>
      </c>
      <c r="I70" s="59">
        <v>254787</v>
      </c>
      <c r="J70" s="57">
        <v>5095767</v>
      </c>
      <c r="K70" s="57">
        <v>1273938</v>
      </c>
      <c r="L70" s="57">
        <v>1273938</v>
      </c>
      <c r="P70" s="57">
        <v>4726393890</v>
      </c>
      <c r="Q70" s="87">
        <f>$A69+1</f>
        <v>68</v>
      </c>
    </row>
    <row r="71" spans="1:17" ht="12.75">
      <c r="A71" s="87">
        <f>$A70+1</f>
        <v>69</v>
      </c>
      <c r="B71" s="57">
        <v>671079</v>
      </c>
      <c r="C71" s="57">
        <v>671079</v>
      </c>
      <c r="D71" s="59">
        <v>671079</v>
      </c>
      <c r="E71" s="59">
        <v>2086721</v>
      </c>
      <c r="F71" s="59">
        <v>1490513</v>
      </c>
      <c r="G71" s="59">
        <v>1401380</v>
      </c>
      <c r="H71" s="59">
        <v>298102</v>
      </c>
      <c r="I71" s="59">
        <v>298102</v>
      </c>
      <c r="J71" s="57">
        <v>5962068</v>
      </c>
      <c r="K71" s="57">
        <v>1490513</v>
      </c>
      <c r="L71" s="57">
        <v>1490513</v>
      </c>
      <c r="P71" s="57">
        <v>6045944180</v>
      </c>
      <c r="Q71" s="87">
        <f>$A70+1</f>
        <v>69</v>
      </c>
    </row>
    <row r="72" spans="1:17" ht="12.75">
      <c r="A72" s="87">
        <f>$A71+1</f>
        <v>70</v>
      </c>
      <c r="B72" s="57">
        <v>775101</v>
      </c>
      <c r="C72" s="57">
        <v>775101</v>
      </c>
      <c r="D72" s="59">
        <v>775101</v>
      </c>
      <c r="E72" s="59">
        <v>2441471</v>
      </c>
      <c r="F72" s="59">
        <v>1743906</v>
      </c>
      <c r="G72" s="59">
        <v>1625609</v>
      </c>
      <c r="H72" s="59">
        <v>348781</v>
      </c>
      <c r="I72" s="59">
        <v>348781</v>
      </c>
      <c r="J72" s="57">
        <v>6975640</v>
      </c>
      <c r="K72" s="57">
        <v>1743906</v>
      </c>
      <c r="L72" s="57">
        <v>1743906</v>
      </c>
      <c r="P72" s="57">
        <v>7738808551</v>
      </c>
      <c r="Q72" s="87">
        <f>$A71+1</f>
        <v>70</v>
      </c>
    </row>
    <row r="73" spans="1:17" ht="12.75">
      <c r="A73" s="87">
        <f>$A72+1</f>
        <v>71</v>
      </c>
      <c r="B73" s="57">
        <v>895247</v>
      </c>
      <c r="C73" s="57">
        <v>895247</v>
      </c>
      <c r="D73" s="59">
        <v>895247</v>
      </c>
      <c r="E73" s="59">
        <v>2856529</v>
      </c>
      <c r="F73" s="59">
        <v>2040376</v>
      </c>
      <c r="G73" s="59">
        <v>1885714</v>
      </c>
      <c r="H73" s="59">
        <v>408075</v>
      </c>
      <c r="I73" s="59">
        <v>408075</v>
      </c>
      <c r="J73" s="57">
        <v>8161519</v>
      </c>
      <c r="K73" s="57">
        <v>2040376</v>
      </c>
      <c r="L73" s="57">
        <v>2040376</v>
      </c>
      <c r="P73" s="57">
        <v>9905674946</v>
      </c>
      <c r="Q73" s="87">
        <f>$A72+1</f>
        <v>71</v>
      </c>
    </row>
    <row r="74" spans="1:17" ht="12.75">
      <c r="A74" s="87">
        <f>$A73+1</f>
        <v>72</v>
      </c>
      <c r="B74" s="57">
        <v>1034015</v>
      </c>
      <c r="C74" s="57">
        <v>1034015</v>
      </c>
      <c r="D74" s="59">
        <v>1034015</v>
      </c>
      <c r="E74" s="59">
        <v>3342146</v>
      </c>
      <c r="F74" s="59">
        <v>2387246</v>
      </c>
      <c r="G74" s="59">
        <v>2187436</v>
      </c>
      <c r="H74" s="59">
        <v>477449</v>
      </c>
      <c r="I74" s="59">
        <v>477449</v>
      </c>
      <c r="J74" s="57">
        <v>9548997</v>
      </c>
      <c r="K74" s="57">
        <v>2387246</v>
      </c>
      <c r="L74" s="65">
        <v>2387246</v>
      </c>
      <c r="P74" s="57">
        <v>12679263931</v>
      </c>
      <c r="Q74" s="87">
        <f>$A73+1</f>
        <v>72</v>
      </c>
    </row>
    <row r="75" spans="1:17" ht="12.75">
      <c r="A75" s="87">
        <f>$A74+1</f>
        <v>73</v>
      </c>
      <c r="B75" s="57">
        <v>1194293</v>
      </c>
      <c r="C75" s="57">
        <v>1194293</v>
      </c>
      <c r="D75" s="59">
        <v>1194293</v>
      </c>
      <c r="E75" s="59">
        <v>3910318</v>
      </c>
      <c r="F75" s="59">
        <v>2793083</v>
      </c>
      <c r="G75" s="59">
        <v>2537434</v>
      </c>
      <c r="H75" s="59">
        <v>558616</v>
      </c>
      <c r="I75" s="57">
        <v>558616</v>
      </c>
      <c r="J75" s="57">
        <v>11172347</v>
      </c>
      <c r="K75" s="57">
        <v>2793083</v>
      </c>
      <c r="L75" s="69"/>
      <c r="P75" s="57">
        <v>16229457832</v>
      </c>
      <c r="Q75" s="87">
        <f>$A74+1</f>
        <v>73</v>
      </c>
    </row>
    <row r="76" spans="1:17" ht="12.75">
      <c r="A76" s="87">
        <f>$A75+1</f>
        <v>74</v>
      </c>
      <c r="B76" s="57">
        <v>1379414</v>
      </c>
      <c r="C76" s="57">
        <v>1379414</v>
      </c>
      <c r="D76" s="59">
        <v>1379414</v>
      </c>
      <c r="E76" s="59">
        <v>4575080</v>
      </c>
      <c r="F76" s="59">
        <v>3267913</v>
      </c>
      <c r="G76" s="59">
        <v>2943431</v>
      </c>
      <c r="H76" s="59">
        <v>653582</v>
      </c>
      <c r="I76" s="57">
        <v>653582</v>
      </c>
      <c r="J76" s="57">
        <v>13071666</v>
      </c>
      <c r="K76" s="57">
        <v>3267913</v>
      </c>
      <c r="L76" s="69"/>
      <c r="P76" s="57">
        <v>20773706025</v>
      </c>
      <c r="Q76" s="87">
        <f>$A75+1</f>
        <v>74</v>
      </c>
    </row>
    <row r="77" spans="1:17" ht="12.75">
      <c r="A77" s="87">
        <f>$A76+1</f>
        <v>75</v>
      </c>
      <c r="B77" s="57">
        <v>1593228</v>
      </c>
      <c r="C77" s="57">
        <v>1593228</v>
      </c>
      <c r="D77" s="59">
        <v>1593228</v>
      </c>
      <c r="E77" s="59">
        <v>5352851</v>
      </c>
      <c r="F77" s="59">
        <v>3823464</v>
      </c>
      <c r="G77" s="59">
        <v>3414388</v>
      </c>
      <c r="H77" s="59">
        <v>764692</v>
      </c>
      <c r="I77" s="57">
        <v>764692</v>
      </c>
      <c r="J77" s="57">
        <v>15293869</v>
      </c>
      <c r="K77" s="57">
        <v>3823464</v>
      </c>
      <c r="L77" s="69"/>
      <c r="P77" s="57">
        <v>26590343712</v>
      </c>
      <c r="Q77" s="87">
        <f>$A76+1</f>
        <v>75</v>
      </c>
    </row>
    <row r="78" spans="1:17" ht="12.75">
      <c r="A78" s="87">
        <f>$A77+1</f>
        <v>76</v>
      </c>
      <c r="B78" s="57">
        <v>1840184</v>
      </c>
      <c r="C78" s="57">
        <v>1840184</v>
      </c>
      <c r="D78" s="59">
        <v>1840184</v>
      </c>
      <c r="E78" s="59">
        <v>6262843</v>
      </c>
      <c r="F78" s="59">
        <v>4473458</v>
      </c>
      <c r="G78" s="59">
        <v>3960698</v>
      </c>
      <c r="H78" s="59">
        <v>894691</v>
      </c>
      <c r="I78" s="57">
        <v>894691</v>
      </c>
      <c r="J78" s="57">
        <v>17893847</v>
      </c>
      <c r="K78" s="57">
        <v>4473458</v>
      </c>
      <c r="L78" s="69"/>
      <c r="P78" s="57">
        <v>34035639952</v>
      </c>
      <c r="Q78" s="87">
        <f>$A77+1</f>
        <v>76</v>
      </c>
    </row>
    <row r="79" spans="1:17" ht="12.75">
      <c r="A79" s="87">
        <f>$A78+1</f>
        <v>77</v>
      </c>
      <c r="B79" s="57">
        <v>2125418</v>
      </c>
      <c r="C79" s="57">
        <v>2125418</v>
      </c>
      <c r="D79" s="59">
        <v>2125418</v>
      </c>
      <c r="E79" s="59">
        <v>7327534</v>
      </c>
      <c r="F79" s="59">
        <v>5223951</v>
      </c>
      <c r="G79" s="59">
        <v>4594418</v>
      </c>
      <c r="H79" s="59">
        <v>1046790</v>
      </c>
      <c r="I79" s="57">
        <v>1046790</v>
      </c>
      <c r="J79" s="57">
        <v>20935821</v>
      </c>
      <c r="K79" s="57">
        <v>5233951</v>
      </c>
      <c r="L79" s="69"/>
      <c r="P79" s="57">
        <v>43565619139</v>
      </c>
      <c r="Q79" s="87">
        <f>$A78+1</f>
        <v>77</v>
      </c>
    </row>
    <row r="80" spans="1:17" ht="12.75">
      <c r="A80" s="87">
        <f>$A79+1</f>
        <v>78</v>
      </c>
      <c r="B80" s="57">
        <v>2454863</v>
      </c>
      <c r="C80" s="57">
        <v>2454863</v>
      </c>
      <c r="D80" s="59">
        <v>2454863</v>
      </c>
      <c r="E80" s="59">
        <v>8573222</v>
      </c>
      <c r="F80" s="59">
        <v>6123728</v>
      </c>
      <c r="G80" s="59">
        <v>5329533</v>
      </c>
      <c r="H80" s="59">
        <v>1224745</v>
      </c>
      <c r="I80" s="57">
        <v>1224745</v>
      </c>
      <c r="J80" s="57">
        <v>24494931</v>
      </c>
      <c r="K80" s="57">
        <v>6123728</v>
      </c>
      <c r="L80" s="69"/>
      <c r="P80" s="57">
        <v>55763992498</v>
      </c>
      <c r="Q80" s="87">
        <f>$A79+1</f>
        <v>78</v>
      </c>
    </row>
    <row r="81" spans="1:17" ht="12.75">
      <c r="A81" s="87">
        <f>$A80+1</f>
        <v>79</v>
      </c>
      <c r="B81" s="57">
        <v>2835372</v>
      </c>
      <c r="C81" s="57">
        <v>2835372</v>
      </c>
      <c r="D81" s="59">
        <v>2835372</v>
      </c>
      <c r="E81" s="59">
        <v>10030677</v>
      </c>
      <c r="F81" s="59">
        <v>7164768</v>
      </c>
      <c r="G81" s="59">
        <v>6182266</v>
      </c>
      <c r="H81" s="59">
        <v>1432953</v>
      </c>
      <c r="I81" s="57">
        <v>1432953</v>
      </c>
      <c r="J81" s="57">
        <v>28659089</v>
      </c>
      <c r="K81" s="57">
        <v>7164768</v>
      </c>
      <c r="L81" s="69"/>
      <c r="P81" s="57">
        <v>71377910398</v>
      </c>
      <c r="Q81" s="87">
        <f>$A80+1</f>
        <v>79</v>
      </c>
    </row>
    <row r="82" spans="1:17" ht="12.75">
      <c r="A82" s="87">
        <f>$A81+1</f>
        <v>80</v>
      </c>
      <c r="B82" s="57">
        <v>3274860</v>
      </c>
      <c r="C82" s="57">
        <v>3274860</v>
      </c>
      <c r="D82" s="59">
        <v>3274860</v>
      </c>
      <c r="E82" s="59">
        <v>11735900</v>
      </c>
      <c r="F82" s="59">
        <v>8382784</v>
      </c>
      <c r="G82" s="59">
        <v>7171436</v>
      </c>
      <c r="H82" s="59">
        <v>1676556</v>
      </c>
      <c r="I82" s="57">
        <v>1676556</v>
      </c>
      <c r="J82" s="57">
        <v>33531154</v>
      </c>
      <c r="K82" s="57">
        <v>8382784</v>
      </c>
      <c r="L82" s="69"/>
      <c r="P82" s="57">
        <v>91363725310</v>
      </c>
      <c r="Q82" s="87">
        <f>$A81+1</f>
        <v>80</v>
      </c>
    </row>
    <row r="83" spans="1:17" ht="12.75">
      <c r="A83" s="87">
        <f>$A82+1</f>
        <v>81</v>
      </c>
      <c r="B83" s="57">
        <v>3782468</v>
      </c>
      <c r="C83" s="57">
        <v>3782468</v>
      </c>
      <c r="D83" s="59">
        <v>3782468</v>
      </c>
      <c r="E83" s="59">
        <v>13731011</v>
      </c>
      <c r="F83" s="59">
        <v>9807863</v>
      </c>
      <c r="G83" s="59">
        <v>8318874</v>
      </c>
      <c r="H83" s="59">
        <v>1961572</v>
      </c>
      <c r="I83" s="57">
        <v>1961572</v>
      </c>
      <c r="J83" s="57">
        <v>39231470</v>
      </c>
      <c r="K83" s="57">
        <v>9807863</v>
      </c>
      <c r="L83" s="69"/>
      <c r="P83" s="57">
        <v>116945568397</v>
      </c>
      <c r="Q83" s="87">
        <f>$A82+1</f>
        <v>81</v>
      </c>
    </row>
    <row r="84" spans="1:17" ht="12.75">
      <c r="A84" s="87">
        <f>$A83+1</f>
        <v>82</v>
      </c>
      <c r="B84" s="69">
        <v>4368756</v>
      </c>
      <c r="C84" s="69">
        <v>4368756</v>
      </c>
      <c r="D84" s="69">
        <v>4368756</v>
      </c>
      <c r="E84" s="59">
        <v>16065290</v>
      </c>
      <c r="F84" s="59">
        <v>11475205</v>
      </c>
      <c r="G84" s="59">
        <v>9649902</v>
      </c>
      <c r="H84" s="59">
        <v>2295040</v>
      </c>
      <c r="I84" s="57">
        <v>2295040</v>
      </c>
      <c r="J84" s="57">
        <v>45900840</v>
      </c>
      <c r="K84" s="57">
        <v>11475205</v>
      </c>
      <c r="L84" s="69"/>
      <c r="P84" s="57">
        <v>149690327549</v>
      </c>
      <c r="Q84" s="87">
        <f>$A83+1</f>
        <v>82</v>
      </c>
    </row>
    <row r="85" spans="1:17" ht="12.75">
      <c r="A85" s="87">
        <f>$A84+1</f>
        <v>83</v>
      </c>
      <c r="B85" s="57">
        <v>5045918</v>
      </c>
      <c r="C85" s="57">
        <v>5045918</v>
      </c>
      <c r="D85" s="59">
        <v>5045918</v>
      </c>
      <c r="E85" s="59">
        <v>18796397</v>
      </c>
      <c r="F85" s="59">
        <v>13425996</v>
      </c>
      <c r="G85" s="59">
        <v>11193894</v>
      </c>
      <c r="H85" s="59">
        <v>2685198</v>
      </c>
      <c r="I85" s="57">
        <v>2685198</v>
      </c>
      <c r="J85" s="57">
        <v>53704003</v>
      </c>
      <c r="K85" s="57">
        <v>13425996</v>
      </c>
      <c r="L85" s="69"/>
      <c r="P85" s="57">
        <v>191603619263</v>
      </c>
      <c r="Q85" s="87">
        <f>$A84+1</f>
        <v>83</v>
      </c>
    </row>
    <row r="86" spans="1:17" ht="12.75">
      <c r="A86" s="87">
        <f>$A85+1</f>
        <v>84</v>
      </c>
      <c r="B86" s="57">
        <v>5828040</v>
      </c>
      <c r="C86" s="57">
        <v>5828040</v>
      </c>
      <c r="D86" s="59">
        <v>5828040</v>
      </c>
      <c r="E86" s="59">
        <v>21991792</v>
      </c>
      <c r="F86" s="59">
        <v>15708421</v>
      </c>
      <c r="G86" s="59">
        <v>12984925</v>
      </c>
      <c r="H86" s="59">
        <v>3141683</v>
      </c>
      <c r="I86" s="57">
        <v>3141683</v>
      </c>
      <c r="J86" s="57">
        <v>62833703</v>
      </c>
      <c r="K86" s="57">
        <v>15708421</v>
      </c>
      <c r="L86" s="69"/>
      <c r="P86" s="57">
        <v>245252632657</v>
      </c>
      <c r="Q86" s="87">
        <f>$A85+1</f>
        <v>84</v>
      </c>
    </row>
    <row r="87" spans="1:17" ht="12.75">
      <c r="A87" s="87">
        <f>$A86+1</f>
        <v>85</v>
      </c>
      <c r="B87" s="57">
        <v>6731391</v>
      </c>
      <c r="C87" s="57">
        <v>6731391</v>
      </c>
      <c r="D87" s="59">
        <v>6731391</v>
      </c>
      <c r="E87" s="65">
        <v>25730404</v>
      </c>
      <c r="F87" s="58">
        <v>18378858</v>
      </c>
      <c r="G87" s="59">
        <v>15062521</v>
      </c>
      <c r="H87" s="59">
        <v>3675770</v>
      </c>
      <c r="I87" s="57">
        <v>3675770</v>
      </c>
      <c r="J87" s="57">
        <v>73515452</v>
      </c>
      <c r="K87" s="57">
        <v>18378858</v>
      </c>
      <c r="L87" s="69"/>
      <c r="P87" s="57">
        <v>313923369801</v>
      </c>
      <c r="Q87" s="87">
        <f>$A86+1</f>
        <v>85</v>
      </c>
    </row>
    <row r="88" spans="1:17" ht="12.75">
      <c r="A88" s="87">
        <f>$A87+1</f>
        <v>86</v>
      </c>
      <c r="B88" s="57">
        <v>7774762</v>
      </c>
      <c r="C88" s="57">
        <v>7774762</v>
      </c>
      <c r="D88" s="59">
        <v>7774762</v>
      </c>
      <c r="E88" s="55">
        <v>30104580</v>
      </c>
      <c r="F88" s="59">
        <v>21503270</v>
      </c>
      <c r="G88" s="59">
        <v>17472532</v>
      </c>
      <c r="H88" s="59">
        <v>4300652</v>
      </c>
      <c r="I88" s="57">
        <v>4300652</v>
      </c>
      <c r="J88" s="57">
        <v>86013099</v>
      </c>
      <c r="K88" s="57">
        <v>21503270</v>
      </c>
      <c r="L88" s="69"/>
      <c r="P88" s="57">
        <v>401821913346</v>
      </c>
      <c r="Q88" s="87">
        <f>$A87+1</f>
        <v>86</v>
      </c>
    </row>
    <row r="89" spans="1:17" ht="12.75">
      <c r="A89" s="87">
        <f>$A88+1</f>
        <v>87</v>
      </c>
      <c r="B89" s="57">
        <v>8979855</v>
      </c>
      <c r="C89" s="57">
        <v>8979855</v>
      </c>
      <c r="D89" s="59">
        <v>8979855</v>
      </c>
      <c r="E89" s="59">
        <v>35222366</v>
      </c>
      <c r="F89" s="59">
        <v>25158832</v>
      </c>
      <c r="G89" s="59">
        <v>20268145</v>
      </c>
      <c r="H89" s="59">
        <v>5031764</v>
      </c>
      <c r="I89" s="57">
        <v>5031764</v>
      </c>
      <c r="J89" s="57">
        <v>100635346</v>
      </c>
      <c r="K89" s="57">
        <v>25158832</v>
      </c>
      <c r="L89" s="69"/>
      <c r="P89" s="57">
        <v>514332049083</v>
      </c>
      <c r="Q89" s="87">
        <f>$A88+1</f>
        <v>87</v>
      </c>
    </row>
    <row r="90" spans="1:17" ht="12.75">
      <c r="A90" s="87">
        <f>$A89+1</f>
        <v>88</v>
      </c>
      <c r="B90" s="57">
        <v>10371738</v>
      </c>
      <c r="C90" s="57">
        <v>10371738</v>
      </c>
      <c r="D90" s="59">
        <v>10371738</v>
      </c>
      <c r="E90" s="59">
        <v>41210176</v>
      </c>
      <c r="F90" s="59">
        <v>29435839</v>
      </c>
      <c r="G90" s="59">
        <v>23511056</v>
      </c>
      <c r="H90" s="59">
        <v>5887165</v>
      </c>
      <c r="I90" s="57">
        <v>5887165</v>
      </c>
      <c r="J90" s="57">
        <v>117743375</v>
      </c>
      <c r="K90" s="57">
        <v>29435839</v>
      </c>
      <c r="L90" s="69"/>
      <c r="P90" s="57">
        <v>658345022827</v>
      </c>
      <c r="Q90" s="87">
        <f>$A89+1</f>
        <v>88</v>
      </c>
    </row>
    <row r="91" spans="1:17" ht="12.75">
      <c r="A91" s="87">
        <f>$A90+1</f>
        <v>89</v>
      </c>
      <c r="B91" s="57">
        <v>11979363</v>
      </c>
      <c r="C91" s="57">
        <v>11979363</v>
      </c>
      <c r="D91" s="59">
        <v>11979363</v>
      </c>
      <c r="E91" s="59">
        <v>48215914</v>
      </c>
      <c r="F91" s="59">
        <v>34439937</v>
      </c>
      <c r="G91" s="59">
        <v>27272833</v>
      </c>
      <c r="H91" s="59">
        <v>6887985</v>
      </c>
      <c r="I91" s="57">
        <v>6887985</v>
      </c>
      <c r="J91" s="57">
        <v>137759768</v>
      </c>
      <c r="K91" s="57">
        <v>34439937</v>
      </c>
      <c r="L91" s="69"/>
      <c r="P91" s="57">
        <v>842681629219</v>
      </c>
      <c r="Q91" s="87">
        <f>$A90+1</f>
        <v>89</v>
      </c>
    </row>
    <row r="92" spans="1:17" ht="12.75">
      <c r="A92" s="87">
        <f>$A91+1</f>
        <v>90</v>
      </c>
      <c r="B92" s="57">
        <v>13836169</v>
      </c>
      <c r="C92" s="57">
        <v>13836169</v>
      </c>
      <c r="D92" s="59">
        <v>13836169</v>
      </c>
      <c r="E92" s="59">
        <v>56412627</v>
      </c>
      <c r="F92" s="59">
        <v>40294732</v>
      </c>
      <c r="G92" s="59">
        <v>31636494</v>
      </c>
      <c r="H92" s="59">
        <v>8058944</v>
      </c>
      <c r="I92" s="57">
        <v>8058944</v>
      </c>
      <c r="J92" s="57">
        <v>161178948</v>
      </c>
      <c r="K92" s="57">
        <v>40294732</v>
      </c>
      <c r="L92" s="69"/>
      <c r="P92" s="57">
        <v>1078632485401</v>
      </c>
      <c r="Q92" s="87">
        <f>$A91+1</f>
        <v>90</v>
      </c>
    </row>
    <row r="93" spans="1:17" ht="12.75">
      <c r="A93" s="87">
        <f>$A92+1</f>
        <v>91</v>
      </c>
      <c r="B93" s="57">
        <v>15980780</v>
      </c>
      <c r="C93" s="57">
        <v>15980780</v>
      </c>
      <c r="D93" s="59">
        <v>15980780</v>
      </c>
      <c r="E93" s="59">
        <v>66002781</v>
      </c>
      <c r="F93" s="59">
        <v>47144842</v>
      </c>
      <c r="G93" s="59">
        <v>36698341</v>
      </c>
      <c r="H93" s="59">
        <v>9428966</v>
      </c>
      <c r="I93" s="57">
        <v>9428966</v>
      </c>
      <c r="J93" s="57">
        <v>188579389</v>
      </c>
      <c r="K93" s="57">
        <v>47144842</v>
      </c>
      <c r="L93" s="69"/>
      <c r="P93" s="57">
        <v>1380649571314</v>
      </c>
      <c r="Q93" s="87">
        <f>$A92+1</f>
        <v>91</v>
      </c>
    </row>
    <row r="94" spans="1:17" ht="12.75">
      <c r="A94" s="87">
        <f>$A93+1</f>
        <v>92</v>
      </c>
      <c r="B94" s="57">
        <v>18457806</v>
      </c>
      <c r="C94" s="57">
        <v>18457806</v>
      </c>
      <c r="D94" s="59">
        <v>18457806</v>
      </c>
      <c r="E94" s="59">
        <v>77223262</v>
      </c>
      <c r="F94" s="59">
        <v>55159471</v>
      </c>
      <c r="G94" s="59">
        <v>42570084</v>
      </c>
      <c r="H94" s="59">
        <v>11031892</v>
      </c>
      <c r="I94" s="57">
        <v>11031892</v>
      </c>
      <c r="J94" s="57">
        <v>220637905</v>
      </c>
      <c r="K94" s="57">
        <v>55159471</v>
      </c>
      <c r="L94" s="69"/>
      <c r="P94" s="57">
        <v>1767231464082</v>
      </c>
      <c r="Q94" s="87">
        <f>$A93+1</f>
        <v>92</v>
      </c>
    </row>
    <row r="95" spans="1:17" ht="12.75">
      <c r="A95" s="87">
        <f>$A94+1</f>
        <v>93</v>
      </c>
      <c r="B95" s="57">
        <v>21318771</v>
      </c>
      <c r="C95" s="57">
        <v>21318771</v>
      </c>
      <c r="D95" s="59">
        <v>21318771</v>
      </c>
      <c r="E95" s="59">
        <v>90351224</v>
      </c>
      <c r="F95" s="59">
        <v>64536587</v>
      </c>
      <c r="G95" s="59">
        <v>49381305</v>
      </c>
      <c r="H95" s="59">
        <v>12907315</v>
      </c>
      <c r="I95" s="57">
        <v>12907315</v>
      </c>
      <c r="J95" s="57">
        <v>258146369</v>
      </c>
      <c r="K95" s="57">
        <v>64536587</v>
      </c>
      <c r="L95" s="69"/>
      <c r="P95" s="57">
        <v>2262056274025</v>
      </c>
      <c r="Q95" s="87">
        <f>$A94+1</f>
        <v>93</v>
      </c>
    </row>
    <row r="96" spans="1:17" ht="12.75">
      <c r="A96" s="87">
        <f>$A95+1</f>
        <v>94</v>
      </c>
      <c r="B96" s="57">
        <v>24623186</v>
      </c>
      <c r="C96" s="57">
        <v>24623186</v>
      </c>
      <c r="D96" s="59">
        <v>24623186</v>
      </c>
      <c r="E96" s="59">
        <v>105710940</v>
      </c>
      <c r="F96" s="59">
        <v>75507813</v>
      </c>
      <c r="G96" s="59">
        <v>57282322</v>
      </c>
      <c r="H96" s="59">
        <v>15101560</v>
      </c>
      <c r="I96" s="57">
        <v>15101560</v>
      </c>
      <c r="J96" s="57">
        <v>302031272</v>
      </c>
      <c r="K96" s="57">
        <v>75507813</v>
      </c>
      <c r="L96" s="69"/>
      <c r="P96" s="57">
        <v>2895432030752</v>
      </c>
      <c r="Q96" s="87">
        <f>$A95+1</f>
        <v>94</v>
      </c>
    </row>
    <row r="97" spans="1:17" ht="12.75">
      <c r="A97" s="87">
        <f>$A96+1</f>
        <v>95</v>
      </c>
      <c r="B97" s="57">
        <v>28439785</v>
      </c>
      <c r="C97" s="57">
        <v>28439785</v>
      </c>
      <c r="D97" s="59">
        <v>28439785</v>
      </c>
      <c r="E97" s="59">
        <v>123681808</v>
      </c>
      <c r="F97" s="59">
        <v>88344147</v>
      </c>
      <c r="G97" s="59">
        <v>66447501</v>
      </c>
      <c r="H97" s="59">
        <v>17668827</v>
      </c>
      <c r="I97" s="57">
        <v>17668827</v>
      </c>
      <c r="J97" s="57">
        <v>353376608</v>
      </c>
      <c r="K97" s="57">
        <v>88344147</v>
      </c>
      <c r="L97" s="69"/>
      <c r="P97" s="57">
        <v>3706152999363</v>
      </c>
      <c r="Q97" s="87">
        <f>$A96+1</f>
        <v>95</v>
      </c>
    </row>
    <row r="98" spans="1:17" ht="12.75">
      <c r="A98" s="87">
        <f>$A97+1</f>
        <v>96</v>
      </c>
      <c r="B98" s="57">
        <v>32847957</v>
      </c>
      <c r="C98" s="57">
        <v>32847957</v>
      </c>
      <c r="D98" s="59">
        <v>32847957</v>
      </c>
      <c r="E98" s="59">
        <v>144707723</v>
      </c>
      <c r="F98" s="59">
        <v>103362658</v>
      </c>
      <c r="G98" s="59">
        <v>77079109</v>
      </c>
      <c r="H98" s="59">
        <v>20672529</v>
      </c>
      <c r="I98" s="57">
        <v>20672529</v>
      </c>
      <c r="J98" s="57">
        <v>413450651</v>
      </c>
      <c r="K98" s="57">
        <v>103362658</v>
      </c>
      <c r="L98" s="69"/>
      <c r="P98" s="57">
        <v>4743875839185</v>
      </c>
      <c r="Q98" s="87">
        <f>$A97+1</f>
        <v>96</v>
      </c>
    </row>
    <row r="99" spans="1:17" ht="12.75">
      <c r="A99" s="87">
        <f>$A98+1</f>
        <v>97</v>
      </c>
      <c r="B99" s="57">
        <v>37939395</v>
      </c>
      <c r="C99" s="57">
        <v>37939395</v>
      </c>
      <c r="D99" s="59">
        <v>37939395</v>
      </c>
      <c r="E99" s="59">
        <v>169308044</v>
      </c>
      <c r="F99" s="59">
        <v>120934316</v>
      </c>
      <c r="G99" s="59">
        <v>89411775</v>
      </c>
      <c r="H99" s="59">
        <v>24186861</v>
      </c>
      <c r="I99" s="57">
        <v>24186861</v>
      </c>
      <c r="J99" s="57">
        <v>483737281</v>
      </c>
      <c r="K99" s="57">
        <v>420934316</v>
      </c>
      <c r="L99" s="69"/>
      <c r="P99" s="57">
        <v>6072161074157</v>
      </c>
      <c r="Q99" s="87">
        <f>$A98+1</f>
        <v>97</v>
      </c>
    </row>
    <row r="100" spans="1:17" ht="12.75">
      <c r="A100" s="87">
        <f>$A99+1</f>
        <v>98</v>
      </c>
      <c r="B100" s="57">
        <v>43820006</v>
      </c>
      <c r="C100" s="57">
        <v>43820006</v>
      </c>
      <c r="D100" s="59">
        <v>43820006</v>
      </c>
      <c r="E100" s="59">
        <v>198090419</v>
      </c>
      <c r="F100" s="59">
        <v>141493155</v>
      </c>
      <c r="G100" s="59">
        <v>103717667</v>
      </c>
      <c r="H100" s="59">
        <v>28298629</v>
      </c>
      <c r="I100" s="57">
        <v>28298629</v>
      </c>
      <c r="J100" s="57">
        <v>565972639</v>
      </c>
      <c r="K100" s="57">
        <v>141493155</v>
      </c>
      <c r="L100" s="69"/>
      <c r="P100" s="57">
        <v>7772366174921</v>
      </c>
      <c r="Q100" s="87">
        <f>$A99+1</f>
        <v>98</v>
      </c>
    </row>
    <row r="101" spans="1:17" ht="12.75">
      <c r="A101" s="87">
        <f>$A100+1</f>
        <v>99</v>
      </c>
      <c r="B101" s="57">
        <v>50612112</v>
      </c>
      <c r="C101" s="57">
        <v>50612112</v>
      </c>
      <c r="D101" s="59">
        <v>50612112</v>
      </c>
      <c r="E101" s="59">
        <v>231765798</v>
      </c>
      <c r="F101" s="59">
        <v>165546997</v>
      </c>
      <c r="G101" s="59">
        <v>120312502</v>
      </c>
      <c r="H101" s="59">
        <v>33109397</v>
      </c>
      <c r="I101" s="57">
        <v>33109397</v>
      </c>
      <c r="J101" s="57">
        <v>662188007</v>
      </c>
      <c r="K101" s="57">
        <v>165546997</v>
      </c>
      <c r="L101" s="69"/>
      <c r="P101" s="57">
        <v>9948628703899</v>
      </c>
      <c r="Q101" s="87">
        <f>$A100+1</f>
        <v>99</v>
      </c>
    </row>
    <row r="102" spans="1:17" ht="12.75">
      <c r="A102" s="89">
        <f>$A101+1</f>
        <v>100</v>
      </c>
      <c r="B102" s="90">
        <v>58456994</v>
      </c>
      <c r="C102" s="90">
        <v>58456994</v>
      </c>
      <c r="D102" s="63">
        <v>58456994</v>
      </c>
      <c r="E102" s="63">
        <v>271165991</v>
      </c>
      <c r="F102" s="63">
        <v>193689992</v>
      </c>
      <c r="G102" s="63">
        <v>139562510</v>
      </c>
      <c r="H102" s="63">
        <v>38737996</v>
      </c>
      <c r="I102" s="65">
        <v>38737996</v>
      </c>
      <c r="J102" s="65">
        <v>774759988</v>
      </c>
      <c r="K102" s="65">
        <v>193689992</v>
      </c>
      <c r="L102" s="69"/>
      <c r="P102" s="65">
        <v>12734244740991</v>
      </c>
      <c r="Q102" s="89">
        <f>$A101+1</f>
        <v>100</v>
      </c>
    </row>
  </sheetData>
  <sheetProtection selectLockedCells="1" selectUnlockedCells="1"/>
  <printOptions/>
  <pageMargins left="1" right="1" top="1.1388888888888888" bottom="1.1388888888888888" header="1" footer="1"/>
  <pageSetup cellComments="atEnd"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02"/>
  <sheetViews>
    <sheetView workbookViewId="0" topLeftCell="A1">
      <selection activeCell="B3" sqref="B3"/>
    </sheetView>
  </sheetViews>
  <sheetFormatPr defaultColWidth="7.00390625" defaultRowHeight="12.75"/>
  <cols>
    <col min="1" max="1" width="8.875" style="30" customWidth="1"/>
    <col min="2" max="2" width="11.875" style="30" customWidth="1"/>
    <col min="3" max="3" width="11.375" style="30" customWidth="1"/>
    <col min="4" max="4" width="9.75390625" style="30" customWidth="1"/>
    <col min="5" max="5" width="12.375" style="30" customWidth="1"/>
    <col min="6" max="6" width="4.25390625" style="30" customWidth="1"/>
    <col min="7" max="7" width="7.875" style="30" customWidth="1"/>
    <col min="8" max="8" width="9.125" style="30" customWidth="1"/>
    <col min="9" max="9" width="1.75390625" style="30" customWidth="1"/>
    <col min="10" max="10" width="13.375" style="30" customWidth="1"/>
    <col min="11" max="12" width="6.625" style="30" customWidth="1"/>
    <col min="13" max="13" width="5.75390625" style="30" customWidth="1"/>
    <col min="14" max="14" width="5.375" style="30" customWidth="1"/>
    <col min="15" max="15" width="4.875" style="30" customWidth="1"/>
    <col min="16" max="16" width="6.125" style="30" customWidth="1"/>
    <col min="17" max="16384" width="7.50390625" style="30" customWidth="1"/>
  </cols>
  <sheetData>
    <row r="1" spans="1:16" ht="29.25" customHeight="1">
      <c r="A1" s="4" t="s">
        <v>125</v>
      </c>
      <c r="B1" s="4" t="s">
        <v>126</v>
      </c>
      <c r="C1" s="4" t="s">
        <v>127</v>
      </c>
      <c r="D1" s="4" t="s">
        <v>128</v>
      </c>
      <c r="E1" s="17" t="s">
        <v>129</v>
      </c>
      <c r="F1" s="4" t="s">
        <v>109</v>
      </c>
      <c r="G1" s="17" t="s">
        <v>130</v>
      </c>
      <c r="H1" s="17" t="s">
        <v>131</v>
      </c>
      <c r="J1" s="91"/>
      <c r="K1" s="92" t="s">
        <v>132</v>
      </c>
      <c r="L1" s="92"/>
      <c r="M1" s="4" t="s">
        <v>133</v>
      </c>
      <c r="N1" s="4" t="s">
        <v>134</v>
      </c>
      <c r="O1" s="4" t="s">
        <v>135</v>
      </c>
      <c r="P1" s="17" t="s">
        <v>136</v>
      </c>
    </row>
    <row r="2" spans="1:16" ht="12.75">
      <c r="A2" s="36">
        <v>0</v>
      </c>
      <c r="B2" s="36">
        <v>0</v>
      </c>
      <c r="C2" s="36">
        <v>0</v>
      </c>
      <c r="D2" s="36">
        <v>0</v>
      </c>
      <c r="E2" s="57">
        <v>0</v>
      </c>
      <c r="F2" s="93">
        <v>0</v>
      </c>
      <c r="G2" s="33">
        <v>0</v>
      </c>
      <c r="H2" s="94">
        <v>0</v>
      </c>
      <c r="I2" s="95"/>
      <c r="J2" s="35" t="s">
        <v>85</v>
      </c>
      <c r="K2" s="96">
        <v>12</v>
      </c>
      <c r="L2" s="96"/>
      <c r="M2" s="36">
        <v>18</v>
      </c>
      <c r="N2" s="36">
        <v>22</v>
      </c>
      <c r="O2" s="36">
        <v>36</v>
      </c>
      <c r="P2" s="33">
        <v>1</v>
      </c>
    </row>
    <row r="3" spans="1:16" ht="12.75">
      <c r="A3" s="59">
        <v>180</v>
      </c>
      <c r="B3" s="59">
        <f>A3*castle_stonemultiplier</f>
        <v>180</v>
      </c>
      <c r="C3" s="59">
        <f>A3*castle_woodmultiplier</f>
        <v>180</v>
      </c>
      <c r="D3" s="59">
        <f>A3*castle_oremultiplier</f>
        <v>180</v>
      </c>
      <c r="E3" s="57">
        <v>152</v>
      </c>
      <c r="F3" s="93">
        <v>1</v>
      </c>
      <c r="G3" s="33">
        <v>1</v>
      </c>
      <c r="H3" s="94">
        <v>0.97</v>
      </c>
      <c r="I3" s="95"/>
      <c r="J3" s="35" t="s">
        <v>86</v>
      </c>
      <c r="K3" s="96">
        <v>24</v>
      </c>
      <c r="L3" s="96"/>
      <c r="M3" s="36">
        <v>36</v>
      </c>
      <c r="N3" s="36">
        <v>44</v>
      </c>
      <c r="O3" s="36">
        <v>72</v>
      </c>
      <c r="P3" s="33">
        <v>1</v>
      </c>
    </row>
    <row r="4" spans="1:16" ht="12.75">
      <c r="A4" s="59">
        <v>216</v>
      </c>
      <c r="B4" s="59">
        <f>A4*castle_stonemultiplier</f>
        <v>216</v>
      </c>
      <c r="C4" s="59">
        <f>A4*castle_woodmultiplier</f>
        <v>216</v>
      </c>
      <c r="D4" s="59">
        <f>A4*castle_oremultiplier</f>
        <v>216</v>
      </c>
      <c r="E4" s="57">
        <v>184</v>
      </c>
      <c r="F4" s="93">
        <f>$F3+1</f>
        <v>2</v>
      </c>
      <c r="G4" s="33">
        <f>G3+(ROUNDDOWN(F4/10,0)+1)</f>
        <v>2</v>
      </c>
      <c r="H4" s="94">
        <v>0.94</v>
      </c>
      <c r="I4" s="95"/>
      <c r="J4" s="35" t="s">
        <v>87</v>
      </c>
      <c r="K4" s="96">
        <v>18</v>
      </c>
      <c r="L4" s="96"/>
      <c r="M4" s="36">
        <v>70</v>
      </c>
      <c r="N4" s="36">
        <v>63</v>
      </c>
      <c r="O4" s="36">
        <v>105</v>
      </c>
      <c r="P4" s="33">
        <v>1</v>
      </c>
    </row>
    <row r="5" spans="1:16" ht="12.75">
      <c r="A5" s="59">
        <v>260</v>
      </c>
      <c r="B5" s="59">
        <f>A5*castle_stonemultiplier</f>
        <v>260</v>
      </c>
      <c r="C5" s="59">
        <f>A5*castle_woodmultiplier</f>
        <v>260</v>
      </c>
      <c r="D5" s="59">
        <f>A5*castle_oremultiplier</f>
        <v>260</v>
      </c>
      <c r="E5" s="57">
        <v>223</v>
      </c>
      <c r="F5" s="93">
        <f>$F4+1</f>
        <v>3</v>
      </c>
      <c r="G5" s="33">
        <f>G4+(ROUNDDOWN(F5/10,0)+1)</f>
        <v>3</v>
      </c>
      <c r="H5" s="94">
        <v>0.91</v>
      </c>
      <c r="I5" s="95"/>
      <c r="J5" s="35" t="s">
        <v>88</v>
      </c>
      <c r="K5" s="96">
        <v>27</v>
      </c>
      <c r="L5" s="96"/>
      <c r="M5" s="36">
        <v>76</v>
      </c>
      <c r="N5" s="36">
        <v>152</v>
      </c>
      <c r="O5" s="36">
        <v>133</v>
      </c>
      <c r="P5" s="33">
        <v>1</v>
      </c>
    </row>
    <row r="6" spans="1:16" ht="12.75">
      <c r="A6" s="59">
        <v>312</v>
      </c>
      <c r="B6" s="59">
        <f>A6*castle_stonemultiplier</f>
        <v>312</v>
      </c>
      <c r="C6" s="59">
        <f>A6*castle_woodmultiplier</f>
        <v>312</v>
      </c>
      <c r="D6" s="59">
        <f>A6*castle_oremultiplier</f>
        <v>312</v>
      </c>
      <c r="E6" s="57">
        <v>270</v>
      </c>
      <c r="F6" s="93">
        <f>$F5+1</f>
        <v>4</v>
      </c>
      <c r="G6" s="33">
        <f>G5+(ROUNDDOWN(F6/10,0)+1)</f>
        <v>4</v>
      </c>
      <c r="H6" s="94">
        <v>0.88</v>
      </c>
      <c r="I6" s="95"/>
      <c r="J6" s="35" t="s">
        <v>89</v>
      </c>
      <c r="K6" s="96">
        <v>22</v>
      </c>
      <c r="L6" s="96"/>
      <c r="M6" s="36">
        <v>92</v>
      </c>
      <c r="N6" s="36">
        <v>184</v>
      </c>
      <c r="O6" s="36">
        <v>161</v>
      </c>
      <c r="P6" s="33">
        <v>2</v>
      </c>
    </row>
    <row r="7" spans="1:16" ht="12.75">
      <c r="A7" s="59">
        <v>375</v>
      </c>
      <c r="B7" s="59">
        <f>A7*castle_stonemultiplier</f>
        <v>375</v>
      </c>
      <c r="C7" s="59">
        <f>A7*castle_woodmultiplier</f>
        <v>375</v>
      </c>
      <c r="D7" s="59">
        <f>A7*castle_oremultiplier</f>
        <v>375</v>
      </c>
      <c r="E7" s="57">
        <v>327</v>
      </c>
      <c r="F7" s="93">
        <f>$F6+1</f>
        <v>5</v>
      </c>
      <c r="G7" s="33">
        <f>G6+(ROUNDDOWN(F7/10,0)+1)</f>
        <v>5</v>
      </c>
      <c r="H7" s="94">
        <v>0.85</v>
      </c>
      <c r="I7" s="95"/>
      <c r="J7" s="35" t="s">
        <v>90</v>
      </c>
      <c r="K7" s="96">
        <v>15</v>
      </c>
      <c r="L7" s="96"/>
      <c r="M7" s="36">
        <v>96</v>
      </c>
      <c r="N7" s="36">
        <v>192</v>
      </c>
      <c r="O7" s="36">
        <v>168</v>
      </c>
      <c r="P7" s="33">
        <v>2</v>
      </c>
    </row>
    <row r="8" spans="1:16" ht="12.75">
      <c r="A8" s="59">
        <v>450</v>
      </c>
      <c r="B8" s="59">
        <f>A8*castle_stonemultiplier</f>
        <v>450</v>
      </c>
      <c r="C8" s="59">
        <f>A8*castle_woodmultiplier</f>
        <v>450</v>
      </c>
      <c r="D8" s="59">
        <f>A8*castle_oremultiplier</f>
        <v>450</v>
      </c>
      <c r="E8" s="57">
        <v>396</v>
      </c>
      <c r="F8" s="93">
        <f>$F7+1</f>
        <v>6</v>
      </c>
      <c r="G8" s="33">
        <f>G7+(ROUNDDOWN(F8/10,0)+1)</f>
        <v>6</v>
      </c>
      <c r="H8" s="94">
        <v>0.82</v>
      </c>
      <c r="I8" s="95"/>
      <c r="J8" s="35" t="s">
        <v>91</v>
      </c>
      <c r="K8" s="96">
        <v>36</v>
      </c>
      <c r="L8" s="96"/>
      <c r="M8" s="36">
        <v>230</v>
      </c>
      <c r="N8" s="36">
        <v>207</v>
      </c>
      <c r="O8" s="36">
        <v>345</v>
      </c>
      <c r="P8" s="33">
        <v>4</v>
      </c>
    </row>
    <row r="9" spans="1:16" ht="12.75">
      <c r="A9" s="59">
        <v>540</v>
      </c>
      <c r="B9" s="59">
        <f>A9*castle_stonemultiplier</f>
        <v>540</v>
      </c>
      <c r="C9" s="59">
        <f>A9*castle_woodmultiplier</f>
        <v>540</v>
      </c>
      <c r="D9" s="59">
        <f>A9*castle_oremultiplier</f>
        <v>540</v>
      </c>
      <c r="E9" s="57">
        <v>480</v>
      </c>
      <c r="F9" s="93">
        <f>$F8+1</f>
        <v>7</v>
      </c>
      <c r="G9" s="33">
        <f>G8+(ROUNDDOWN(F9/10,0)+1)</f>
        <v>7</v>
      </c>
      <c r="H9" s="94">
        <v>0.79</v>
      </c>
      <c r="I9" s="95"/>
      <c r="J9" s="35" t="s">
        <v>92</v>
      </c>
      <c r="K9" s="96">
        <v>48</v>
      </c>
      <c r="L9" s="96"/>
      <c r="M9" s="36">
        <v>252</v>
      </c>
      <c r="N9" s="36">
        <v>308</v>
      </c>
      <c r="O9" s="36">
        <v>504</v>
      </c>
      <c r="P9" s="33">
        <v>8</v>
      </c>
    </row>
    <row r="10" spans="1:16" ht="12.75">
      <c r="A10" s="59">
        <v>648</v>
      </c>
      <c r="B10" s="59">
        <f>A10*castle_stonemultiplier</f>
        <v>648</v>
      </c>
      <c r="C10" s="59">
        <f>A10*castle_woodmultiplier</f>
        <v>648</v>
      </c>
      <c r="D10" s="59">
        <f>A10*castle_oremultiplier</f>
        <v>648</v>
      </c>
      <c r="E10" s="57">
        <v>581</v>
      </c>
      <c r="F10" s="93">
        <f>$F9+1</f>
        <v>8</v>
      </c>
      <c r="G10" s="33">
        <f>G9+(ROUNDDOWN(F10/10,0)+1)</f>
        <v>8</v>
      </c>
      <c r="H10" s="94">
        <v>0.76</v>
      </c>
      <c r="I10" s="95"/>
      <c r="J10" s="49" t="s">
        <v>137</v>
      </c>
      <c r="K10" s="42">
        <v>40</v>
      </c>
      <c r="L10" s="42"/>
      <c r="M10" s="66">
        <v>176</v>
      </c>
      <c r="N10" s="42">
        <v>352</v>
      </c>
      <c r="O10" s="42">
        <v>308</v>
      </c>
      <c r="P10" s="37">
        <v>6</v>
      </c>
    </row>
    <row r="11" spans="1:16" ht="12.75">
      <c r="A11" s="59">
        <v>778</v>
      </c>
      <c r="B11" s="59">
        <f>A11*castle_stonemultiplier</f>
        <v>778</v>
      </c>
      <c r="C11" s="59">
        <f>A11*castle_woodmultiplier</f>
        <v>778</v>
      </c>
      <c r="D11" s="59">
        <f>A11*castle_oremultiplier</f>
        <v>778</v>
      </c>
      <c r="E11" s="57">
        <v>708</v>
      </c>
      <c r="F11" s="93">
        <f>$F10+1</f>
        <v>9</v>
      </c>
      <c r="G11" s="33">
        <f>G10+(ROUNDDOWN(F11/10,0)+1)</f>
        <v>9</v>
      </c>
      <c r="H11" s="94">
        <v>0.74</v>
      </c>
      <c r="I11" s="95"/>
      <c r="J11" s="35" t="s">
        <v>94</v>
      </c>
      <c r="K11" s="96">
        <v>60</v>
      </c>
      <c r="L11" s="96"/>
      <c r="M11" s="36">
        <v>360</v>
      </c>
      <c r="N11" s="36">
        <v>400</v>
      </c>
      <c r="O11" s="36">
        <v>600</v>
      </c>
      <c r="P11" s="33">
        <v>6</v>
      </c>
    </row>
    <row r="12" spans="1:16" ht="12.75">
      <c r="A12" s="59">
        <v>934</v>
      </c>
      <c r="B12" s="59">
        <f>A12*castle_stonemultiplier</f>
        <v>934</v>
      </c>
      <c r="C12" s="59">
        <f>A12*castle_woodmultiplier</f>
        <v>934</v>
      </c>
      <c r="D12" s="59">
        <f>A12*castle_oremultiplier</f>
        <v>934</v>
      </c>
      <c r="E12" s="57">
        <v>852</v>
      </c>
      <c r="F12" s="93">
        <f>$F11+1</f>
        <v>10</v>
      </c>
      <c r="G12" s="33">
        <f>G11+(ROUNDDOWN(F12/10,0)+1)</f>
        <v>11</v>
      </c>
      <c r="H12" s="94">
        <v>0.72</v>
      </c>
      <c r="I12" s="95"/>
      <c r="J12" s="49" t="s">
        <v>95</v>
      </c>
      <c r="K12" s="97">
        <v>69</v>
      </c>
      <c r="L12" s="97"/>
      <c r="M12" s="42">
        <v>315</v>
      </c>
      <c r="N12" s="42">
        <v>350</v>
      </c>
      <c r="O12" s="42">
        <v>525</v>
      </c>
      <c r="P12" s="37">
        <v>10</v>
      </c>
    </row>
    <row r="13" spans="1:9" ht="12.75">
      <c r="A13" s="59">
        <v>1121</v>
      </c>
      <c r="B13" s="59">
        <f>A13*castle_stonemultiplier</f>
        <v>1121</v>
      </c>
      <c r="C13" s="59">
        <f>A13*castle_woodmultiplier</f>
        <v>1121</v>
      </c>
      <c r="D13" s="59">
        <f>A13*castle_oremultiplier</f>
        <v>1121</v>
      </c>
      <c r="E13" s="57">
        <v>1031</v>
      </c>
      <c r="F13" s="93">
        <f>$F12+1</f>
        <v>11</v>
      </c>
      <c r="G13" s="33">
        <f>G12+(ROUNDDOWN(F13/10,0)+1)</f>
        <v>13</v>
      </c>
      <c r="H13" s="94">
        <v>0.7</v>
      </c>
      <c r="I13" s="95"/>
    </row>
    <row r="14" spans="1:9" ht="12.75">
      <c r="A14" s="59">
        <v>1346</v>
      </c>
      <c r="B14" s="59">
        <f>A14*castle_stonemultiplier</f>
        <v>1346</v>
      </c>
      <c r="C14" s="59">
        <f>A14*castle_woodmultiplier</f>
        <v>1346</v>
      </c>
      <c r="D14" s="59">
        <f>A14*castle_oremultiplier</f>
        <v>1346</v>
      </c>
      <c r="E14" s="57">
        <v>1248</v>
      </c>
      <c r="F14" s="93">
        <f>$F13+1</f>
        <v>12</v>
      </c>
      <c r="G14" s="33">
        <f>G13+(ROUNDDOWN(F14/10,0)+1)</f>
        <v>15</v>
      </c>
      <c r="H14" s="94">
        <v>0.68</v>
      </c>
      <c r="I14" s="95"/>
    </row>
    <row r="15" spans="1:9" ht="12.75">
      <c r="A15" s="59">
        <v>1616</v>
      </c>
      <c r="B15" s="59">
        <f>A15*castle_stonemultiplier</f>
        <v>1616</v>
      </c>
      <c r="C15" s="59">
        <f>A15*castle_woodmultiplier</f>
        <v>1616</v>
      </c>
      <c r="D15" s="59">
        <f>A15*castle_oremultiplier</f>
        <v>1616</v>
      </c>
      <c r="E15" s="57">
        <v>1511</v>
      </c>
      <c r="F15" s="93">
        <f>$F14+1</f>
        <v>13</v>
      </c>
      <c r="G15" s="33">
        <f>G14+(ROUNDDOWN(F15/10,0)+1)</f>
        <v>17</v>
      </c>
      <c r="H15" s="94">
        <v>0.66</v>
      </c>
      <c r="I15" s="95"/>
    </row>
    <row r="16" spans="1:9" ht="12.75">
      <c r="A16" s="59">
        <v>1940</v>
      </c>
      <c r="B16" s="59">
        <f>A16*castle_stonemultiplier</f>
        <v>1940</v>
      </c>
      <c r="C16" s="59">
        <f>A16*castle_woodmultiplier</f>
        <v>1940</v>
      </c>
      <c r="D16" s="59">
        <f>A16*castle_oremultiplier</f>
        <v>1940</v>
      </c>
      <c r="E16" s="57">
        <v>1829</v>
      </c>
      <c r="F16" s="93">
        <f>$F15+1</f>
        <v>14</v>
      </c>
      <c r="G16" s="33">
        <f>G15+(ROUNDDOWN(F16/10,0)+1)</f>
        <v>19</v>
      </c>
      <c r="H16" s="94">
        <v>0.64</v>
      </c>
      <c r="I16" s="95"/>
    </row>
    <row r="17" spans="1:9" ht="12.75">
      <c r="A17" s="59">
        <v>2328</v>
      </c>
      <c r="B17" s="59">
        <f>A17*castle_stonemultiplier</f>
        <v>2328</v>
      </c>
      <c r="C17" s="59">
        <f>A17*castle_woodmultiplier</f>
        <v>2328</v>
      </c>
      <c r="D17" s="59">
        <f>A17*castle_oremultiplier</f>
        <v>2328</v>
      </c>
      <c r="E17" s="57">
        <v>2214</v>
      </c>
      <c r="F17" s="93">
        <f>$F16+1</f>
        <v>15</v>
      </c>
      <c r="G17" s="33">
        <f>G16+(ROUNDDOWN(F17/10,0)+1)</f>
        <v>21</v>
      </c>
      <c r="H17" s="94">
        <v>0.62</v>
      </c>
      <c r="I17" s="95"/>
    </row>
    <row r="18" spans="1:11" ht="12.75">
      <c r="A18" s="59">
        <v>2608</v>
      </c>
      <c r="B18" s="59">
        <f>A18*castle_stonemultiplier</f>
        <v>2608</v>
      </c>
      <c r="C18" s="59">
        <f>A18*castle_woodmultiplier</f>
        <v>2608</v>
      </c>
      <c r="D18" s="59">
        <f>A18*castle_oremultiplier</f>
        <v>2608</v>
      </c>
      <c r="E18" s="57">
        <v>2679</v>
      </c>
      <c r="F18" s="93">
        <f>$F17+1</f>
        <v>16</v>
      </c>
      <c r="G18" s="33">
        <f>G17+(ROUNDDOWN(F18/10,0)+1)</f>
        <v>23</v>
      </c>
      <c r="H18" s="94">
        <v>0.6000000000000001</v>
      </c>
      <c r="I18" s="95"/>
      <c r="J18" s="69"/>
      <c r="K18" s="69"/>
    </row>
    <row r="19" spans="1:11" ht="12.75">
      <c r="A19" s="59">
        <v>2921</v>
      </c>
      <c r="B19" s="59">
        <f>A19*castle_stonemultiplier</f>
        <v>2921</v>
      </c>
      <c r="C19" s="59">
        <f>A19*castle_woodmultiplier</f>
        <v>2921</v>
      </c>
      <c r="D19" s="59">
        <f>A19*castle_oremultiplier</f>
        <v>2921</v>
      </c>
      <c r="E19" s="57">
        <v>3242</v>
      </c>
      <c r="F19" s="93">
        <f>$F18+1</f>
        <v>17</v>
      </c>
      <c r="G19" s="33">
        <f>G18+(ROUNDDOWN(F19/10,0)+1)</f>
        <v>25</v>
      </c>
      <c r="H19" s="94">
        <v>0.58</v>
      </c>
      <c r="I19" s="95"/>
      <c r="J19" s="69"/>
      <c r="K19" s="69"/>
    </row>
    <row r="20" spans="1:11" ht="12.75">
      <c r="A20" s="59">
        <v>3272</v>
      </c>
      <c r="B20" s="59">
        <f>A20*castle_stonemultiplier</f>
        <v>3272</v>
      </c>
      <c r="C20" s="59">
        <f>A20*castle_woodmultiplier</f>
        <v>3272</v>
      </c>
      <c r="D20" s="59">
        <f>A20*castle_oremultiplier</f>
        <v>3272</v>
      </c>
      <c r="E20" s="57">
        <v>3923</v>
      </c>
      <c r="F20" s="93">
        <f>$F19+1</f>
        <v>18</v>
      </c>
      <c r="G20" s="33">
        <f>G19+(ROUNDDOWN(F20/10,0)+1)</f>
        <v>27</v>
      </c>
      <c r="H20" s="94">
        <v>0.56</v>
      </c>
      <c r="I20" s="95"/>
      <c r="J20" s="69"/>
      <c r="K20" s="69"/>
    </row>
    <row r="21" spans="1:11" ht="12.75">
      <c r="A21" s="59">
        <v>3665</v>
      </c>
      <c r="B21" s="59">
        <f>A21*castle_stonemultiplier</f>
        <v>3665</v>
      </c>
      <c r="C21" s="59">
        <f>A21*castle_woodmultiplier</f>
        <v>3665</v>
      </c>
      <c r="D21" s="59">
        <f>A21*castle_oremultiplier</f>
        <v>3665</v>
      </c>
      <c r="E21" s="57">
        <v>4747</v>
      </c>
      <c r="F21" s="93">
        <f>$F20+1</f>
        <v>19</v>
      </c>
      <c r="G21" s="33">
        <f>G20+(ROUNDDOWN(F21/10,0)+1)</f>
        <v>29</v>
      </c>
      <c r="H21" s="94">
        <v>0.54</v>
      </c>
      <c r="I21" s="95"/>
      <c r="J21" s="69"/>
      <c r="K21" s="69"/>
    </row>
    <row r="22" spans="1:11" ht="12.75">
      <c r="A22" s="59">
        <v>4105</v>
      </c>
      <c r="B22" s="59">
        <f>A22*castle_stonemultiplier</f>
        <v>4105</v>
      </c>
      <c r="C22" s="59">
        <f>A22*castle_woodmultiplier</f>
        <v>4105</v>
      </c>
      <c r="D22" s="59">
        <f>A22*castle_oremultiplier</f>
        <v>4105</v>
      </c>
      <c r="E22" s="57">
        <v>5744</v>
      </c>
      <c r="F22" s="93">
        <f>$F21+1</f>
        <v>20</v>
      </c>
      <c r="G22" s="33">
        <f>G21+(ROUNDDOWN(F22/10,0)+1)</f>
        <v>32</v>
      </c>
      <c r="H22" s="94">
        <v>0.52</v>
      </c>
      <c r="I22" s="95"/>
      <c r="J22" s="69"/>
      <c r="K22" s="69"/>
    </row>
    <row r="23" spans="1:11" ht="12.75">
      <c r="A23" s="59">
        <v>4598</v>
      </c>
      <c r="B23" s="59">
        <f>A23*castle_stonemultiplier</f>
        <v>4598</v>
      </c>
      <c r="C23" s="59">
        <f>A23*castle_woodmultiplier</f>
        <v>4598</v>
      </c>
      <c r="D23" s="59">
        <f>A23*castle_oremultiplier</f>
        <v>4598</v>
      </c>
      <c r="E23" s="57">
        <v>6951</v>
      </c>
      <c r="F23" s="93">
        <f>$F22+1</f>
        <v>21</v>
      </c>
      <c r="G23" s="33">
        <f>G22+(ROUNDDOWN(F23/10,0)+1)</f>
        <v>35</v>
      </c>
      <c r="H23" s="94">
        <v>0.51</v>
      </c>
      <c r="I23" s="95"/>
      <c r="J23" s="69"/>
      <c r="K23" s="69"/>
    </row>
    <row r="24" spans="1:11" ht="12.75">
      <c r="A24" s="59">
        <v>5150</v>
      </c>
      <c r="B24" s="59">
        <f>A24*castle_stonemultiplier</f>
        <v>5150</v>
      </c>
      <c r="C24" s="59">
        <f>A24*castle_woodmultiplier</f>
        <v>5150</v>
      </c>
      <c r="D24" s="59">
        <f>A24*castle_oremultiplier</f>
        <v>5150</v>
      </c>
      <c r="E24" s="57">
        <v>8411</v>
      </c>
      <c r="F24" s="93">
        <f>$F23+1</f>
        <v>22</v>
      </c>
      <c r="G24" s="33">
        <f>G23+(ROUNDDOWN(F24/10,0)+1)</f>
        <v>38</v>
      </c>
      <c r="H24" s="94">
        <v>0.5</v>
      </c>
      <c r="I24" s="95"/>
      <c r="J24" s="69"/>
      <c r="K24" s="69"/>
    </row>
    <row r="25" spans="1:11" ht="12.75">
      <c r="A25" s="59">
        <v>5769</v>
      </c>
      <c r="B25" s="59">
        <f>A25*castle_stonemultiplier</f>
        <v>5769</v>
      </c>
      <c r="C25" s="59">
        <f>A25*castle_woodmultiplier</f>
        <v>5769</v>
      </c>
      <c r="D25" s="59">
        <f>A25*castle_oremultiplier</f>
        <v>5769</v>
      </c>
      <c r="E25" s="57">
        <v>10178</v>
      </c>
      <c r="F25" s="93">
        <f>$F24+1</f>
        <v>23</v>
      </c>
      <c r="G25" s="33">
        <f>G24+(ROUNDDOWN(F25/10,0)+1)</f>
        <v>41</v>
      </c>
      <c r="H25" s="94">
        <v>0.49</v>
      </c>
      <c r="I25" s="95"/>
      <c r="J25" s="69"/>
      <c r="K25" s="69"/>
    </row>
    <row r="26" spans="1:11" ht="12.75">
      <c r="A26" s="59">
        <v>6462</v>
      </c>
      <c r="B26" s="59">
        <f>A26*castle_stonemultiplier</f>
        <v>6462</v>
      </c>
      <c r="C26" s="59">
        <f>A26*castle_woodmultiplier</f>
        <v>6462</v>
      </c>
      <c r="D26" s="59">
        <f>A26*castle_oremultiplier</f>
        <v>6462</v>
      </c>
      <c r="E26" s="57">
        <v>12316</v>
      </c>
      <c r="F26" s="93">
        <f>$F25+1</f>
        <v>24</v>
      </c>
      <c r="G26" s="33">
        <f>G25+(ROUNDDOWN(F26/10,0)+1)</f>
        <v>44</v>
      </c>
      <c r="H26" s="94">
        <v>0.48</v>
      </c>
      <c r="I26" s="95"/>
      <c r="J26" s="69"/>
      <c r="K26" s="69"/>
    </row>
    <row r="27" spans="1:11" ht="12.75">
      <c r="A27" s="59">
        <v>7328</v>
      </c>
      <c r="B27" s="59">
        <f>A27*castle_stonemultiplier</f>
        <v>7328</v>
      </c>
      <c r="C27" s="59">
        <f>A27*castle_woodmultiplier</f>
        <v>7328</v>
      </c>
      <c r="D27" s="59">
        <f>A27*castle_oremultiplier</f>
        <v>7328</v>
      </c>
      <c r="E27" s="57">
        <v>14903</v>
      </c>
      <c r="F27" s="93">
        <f>$F26+1</f>
        <v>25</v>
      </c>
      <c r="G27" s="33">
        <f>G26+(ROUNDDOWN(F27/10,0)+1)</f>
        <v>47</v>
      </c>
      <c r="H27" s="94">
        <v>0.47</v>
      </c>
      <c r="I27" s="95"/>
      <c r="J27" s="69"/>
      <c r="K27" s="69"/>
    </row>
    <row r="28" spans="1:11" ht="12.75">
      <c r="A28" s="59">
        <v>8107</v>
      </c>
      <c r="B28" s="59">
        <f>A28*castle_stonemultiplier</f>
        <v>8107</v>
      </c>
      <c r="C28" s="59">
        <f>A28*castle_woodmultiplier</f>
        <v>8107</v>
      </c>
      <c r="D28" s="59">
        <f>A28*castle_oremultiplier</f>
        <v>8107</v>
      </c>
      <c r="E28" s="57">
        <v>18033</v>
      </c>
      <c r="F28" s="93">
        <f>$F27+1</f>
        <v>26</v>
      </c>
      <c r="G28" s="33">
        <f>G27+(ROUNDDOWN(F28/10,0)+1)</f>
        <v>50</v>
      </c>
      <c r="H28" s="94">
        <v>0.46</v>
      </c>
      <c r="I28" s="95"/>
      <c r="J28" s="69"/>
      <c r="K28" s="69"/>
    </row>
    <row r="29" spans="1:11" ht="12.75">
      <c r="A29" s="59">
        <v>9080</v>
      </c>
      <c r="B29" s="59">
        <f>A29*castle_stonemultiplier</f>
        <v>9080</v>
      </c>
      <c r="C29" s="59">
        <f>A29*castle_woodmultiplier</f>
        <v>9080</v>
      </c>
      <c r="D29" s="59">
        <f>A29*castle_oremultiplier</f>
        <v>9080</v>
      </c>
      <c r="E29" s="57">
        <v>21820</v>
      </c>
      <c r="F29" s="93">
        <f>$F28+1</f>
        <v>27</v>
      </c>
      <c r="G29" s="33">
        <f>G28+(ROUNDDOWN(F29/10,0)+1)</f>
        <v>53</v>
      </c>
      <c r="H29" s="94">
        <v>0.45</v>
      </c>
      <c r="I29" s="95"/>
      <c r="J29" s="69"/>
      <c r="K29" s="69"/>
    </row>
    <row r="30" spans="1:11" ht="12.75">
      <c r="A30" s="59">
        <v>10170</v>
      </c>
      <c r="B30" s="59">
        <f>A30*castle_stonemultiplier</f>
        <v>10170</v>
      </c>
      <c r="C30" s="59">
        <f>A30*castle_woodmultiplier</f>
        <v>10170</v>
      </c>
      <c r="D30" s="59">
        <f>A30*castle_oremultiplier</f>
        <v>10170</v>
      </c>
      <c r="E30" s="57">
        <v>26403</v>
      </c>
      <c r="F30" s="93">
        <f>$F29+1</f>
        <v>28</v>
      </c>
      <c r="G30" s="33">
        <f>G29+(ROUNDDOWN(F30/10,0)+1)</f>
        <v>56</v>
      </c>
      <c r="H30" s="94">
        <v>0.44</v>
      </c>
      <c r="I30" s="95"/>
      <c r="J30" s="69"/>
      <c r="K30" s="69"/>
    </row>
    <row r="31" spans="1:11" ht="12.75">
      <c r="A31" s="59">
        <v>11391</v>
      </c>
      <c r="B31" s="59">
        <f>A31*castle_stonemultiplier</f>
        <v>11391</v>
      </c>
      <c r="C31" s="59">
        <f>A31*castle_woodmultiplier</f>
        <v>11391</v>
      </c>
      <c r="D31" s="59">
        <f>A31*castle_oremultiplier</f>
        <v>11391</v>
      </c>
      <c r="E31" s="57">
        <v>31948</v>
      </c>
      <c r="F31" s="93">
        <f>$F30+1</f>
        <v>29</v>
      </c>
      <c r="G31" s="33">
        <f>G30+(ROUNDDOWN(F31/10,0)+1)</f>
        <v>59</v>
      </c>
      <c r="H31" s="94">
        <v>0.43</v>
      </c>
      <c r="I31" s="95"/>
      <c r="J31" s="69"/>
      <c r="K31" s="69"/>
    </row>
    <row r="32" spans="1:11" ht="12.75">
      <c r="A32" s="59">
        <v>12758</v>
      </c>
      <c r="B32" s="59">
        <f>A32*castle_stonemultiplier</f>
        <v>12758</v>
      </c>
      <c r="C32" s="59">
        <f>A32*castle_woodmultiplier</f>
        <v>12758</v>
      </c>
      <c r="D32" s="59">
        <f>A32*castle_oremultiplier</f>
        <v>12758</v>
      </c>
      <c r="E32" s="57">
        <v>38658</v>
      </c>
      <c r="F32" s="93">
        <f>$F31+1</f>
        <v>30</v>
      </c>
      <c r="G32" s="33">
        <f>G31+(ROUNDDOWN(F32/10,0)+1)</f>
        <v>63</v>
      </c>
      <c r="H32" s="94">
        <v>0.42</v>
      </c>
      <c r="I32" s="95"/>
      <c r="J32" s="69"/>
      <c r="K32" s="69"/>
    </row>
    <row r="33" spans="1:10" ht="12.75">
      <c r="A33" s="59">
        <v>13779</v>
      </c>
      <c r="B33" s="59">
        <f>A33*castle_stonemultiplier</f>
        <v>13779</v>
      </c>
      <c r="C33" s="59">
        <f>A33*castle_woodmultiplier</f>
        <v>13779</v>
      </c>
      <c r="D33" s="59">
        <f>A33*castle_oremultiplier</f>
        <v>13779</v>
      </c>
      <c r="E33" s="57">
        <v>46777</v>
      </c>
      <c r="F33" s="93">
        <f>$F32+1</f>
        <v>31</v>
      </c>
      <c r="G33" s="33">
        <f>G32+(ROUNDDOWN(F33/10,0)+1)</f>
        <v>67</v>
      </c>
      <c r="H33" s="94">
        <v>0.41</v>
      </c>
      <c r="I33" s="95"/>
      <c r="J33" s="69"/>
    </row>
    <row r="34" spans="1:10" ht="12.75">
      <c r="A34" s="59">
        <v>14882</v>
      </c>
      <c r="B34" s="59">
        <f>A34*castle_stonemultiplier</f>
        <v>14882</v>
      </c>
      <c r="C34" s="59">
        <f>A34*castle_woodmultiplier</f>
        <v>14882</v>
      </c>
      <c r="D34" s="59">
        <f>A34*castle_oremultiplier</f>
        <v>14882</v>
      </c>
      <c r="E34" s="57">
        <v>56601</v>
      </c>
      <c r="F34" s="93">
        <f>$F33+1</f>
        <v>32</v>
      </c>
      <c r="G34" s="33">
        <f>G33+(ROUNDDOWN(F34/10,0)+1)</f>
        <v>71</v>
      </c>
      <c r="H34" s="94">
        <v>0.4</v>
      </c>
      <c r="I34" s="95"/>
      <c r="J34" s="69"/>
    </row>
    <row r="35" spans="1:10" ht="12.75">
      <c r="A35" s="59">
        <v>16073</v>
      </c>
      <c r="B35" s="59">
        <f>A35*castle_stonemultiplier</f>
        <v>16073</v>
      </c>
      <c r="C35" s="59">
        <f>A35*castle_woodmultiplier</f>
        <v>16073</v>
      </c>
      <c r="D35" s="59">
        <f>A35*castle_oremultiplier</f>
        <v>16073</v>
      </c>
      <c r="E35" s="57">
        <v>68488</v>
      </c>
      <c r="F35" s="93">
        <f>$F34+1</f>
        <v>33</v>
      </c>
      <c r="G35" s="33">
        <f>G34+(ROUNDDOWN(F35/10,0)+1)</f>
        <v>75</v>
      </c>
      <c r="H35" s="94">
        <v>0.39</v>
      </c>
      <c r="I35" s="95"/>
      <c r="J35" s="69"/>
    </row>
    <row r="36" spans="1:10" ht="12.75">
      <c r="A36" s="59">
        <v>17359</v>
      </c>
      <c r="B36" s="59">
        <f>A36*castle_stonemultiplier</f>
        <v>17359</v>
      </c>
      <c r="C36" s="59">
        <f>A36*castle_woodmultiplier</f>
        <v>17359</v>
      </c>
      <c r="D36" s="59">
        <f>A36*castle_oremultiplier</f>
        <v>17359</v>
      </c>
      <c r="E36" s="57">
        <v>82871</v>
      </c>
      <c r="F36" s="93">
        <f>$F35+1</f>
        <v>34</v>
      </c>
      <c r="G36" s="33">
        <f>G35+(ROUNDDOWN(F36/10,0)+1)</f>
        <v>79</v>
      </c>
      <c r="H36" s="94">
        <v>0.38</v>
      </c>
      <c r="I36" s="95"/>
      <c r="J36" s="69"/>
    </row>
    <row r="37" spans="1:10" ht="12.75">
      <c r="A37" s="59">
        <v>18748</v>
      </c>
      <c r="B37" s="59">
        <f>A37*castle_stonemultiplier</f>
        <v>18748</v>
      </c>
      <c r="C37" s="59">
        <f>A37*castle_woodmultiplier</f>
        <v>18748</v>
      </c>
      <c r="D37" s="59">
        <f>A37*castle_oremultiplier</f>
        <v>18748</v>
      </c>
      <c r="E37" s="57">
        <v>100274</v>
      </c>
      <c r="F37" s="93">
        <f>$F36+1</f>
        <v>35</v>
      </c>
      <c r="G37" s="33">
        <f>G36+(ROUNDDOWN(F37/10,0)+1)</f>
        <v>83</v>
      </c>
      <c r="H37" s="94">
        <v>0.37</v>
      </c>
      <c r="I37" s="95"/>
      <c r="J37" s="69"/>
    </row>
    <row r="38" spans="1:10" ht="12.75">
      <c r="A38" s="59">
        <v>20248</v>
      </c>
      <c r="B38" s="59">
        <f>A38*castle_stonemultiplier</f>
        <v>20248</v>
      </c>
      <c r="C38" s="59">
        <f>A38*castle_woodmultiplier</f>
        <v>20248</v>
      </c>
      <c r="D38" s="59">
        <f>A38*castle_oremultiplier</f>
        <v>20248</v>
      </c>
      <c r="E38" s="57">
        <v>121332</v>
      </c>
      <c r="F38" s="93">
        <f>$F37+1</f>
        <v>36</v>
      </c>
      <c r="G38" s="33">
        <f>G37+(ROUNDDOWN(F38/10,0)+1)</f>
        <v>87</v>
      </c>
      <c r="H38" s="94">
        <v>0.36</v>
      </c>
      <c r="I38" s="95"/>
      <c r="J38" s="69"/>
    </row>
    <row r="39" spans="1:10" ht="12.75">
      <c r="A39" s="59">
        <v>21868</v>
      </c>
      <c r="B39" s="59">
        <f>A39*castle_stonemultiplier</f>
        <v>21868</v>
      </c>
      <c r="C39" s="59">
        <f>A39*castle_woodmultiplier</f>
        <v>21868</v>
      </c>
      <c r="D39" s="59">
        <f>A39*castle_oremultiplier</f>
        <v>21868</v>
      </c>
      <c r="E39" s="57">
        <v>146812</v>
      </c>
      <c r="F39" s="93">
        <f>$F38+1</f>
        <v>37</v>
      </c>
      <c r="G39" s="33">
        <f>G38+(ROUNDDOWN(F39/10,0)+1)</f>
        <v>91</v>
      </c>
      <c r="H39" s="94">
        <v>0.35</v>
      </c>
      <c r="I39" s="95"/>
      <c r="J39" s="69"/>
    </row>
    <row r="40" spans="1:10" ht="12.75">
      <c r="A40" s="59">
        <v>23618</v>
      </c>
      <c r="B40" s="59">
        <f>A40*castle_stonemultiplier</f>
        <v>23618</v>
      </c>
      <c r="C40" s="59">
        <f>A40*castle_woodmultiplier</f>
        <v>23618</v>
      </c>
      <c r="D40" s="59">
        <f>A40*castle_oremultiplier</f>
        <v>23618</v>
      </c>
      <c r="E40" s="57">
        <v>177643</v>
      </c>
      <c r="F40" s="93">
        <f>$F39+1</f>
        <v>38</v>
      </c>
      <c r="G40" s="33">
        <f>G39+(ROUNDDOWN(F40/10,0)+1)</f>
        <v>95</v>
      </c>
      <c r="H40" s="94">
        <v>0.34</v>
      </c>
      <c r="I40" s="95"/>
      <c r="J40" s="69"/>
    </row>
    <row r="41" spans="1:10" ht="12.75">
      <c r="A41" s="59">
        <v>25508</v>
      </c>
      <c r="B41" s="59">
        <f>A41*castle_stonemultiplier</f>
        <v>25508</v>
      </c>
      <c r="C41" s="59">
        <f>A41*castle_woodmultiplier</f>
        <v>25508</v>
      </c>
      <c r="D41" s="59">
        <f>A41*castle_oremultiplier</f>
        <v>25508</v>
      </c>
      <c r="E41" s="57">
        <v>214949</v>
      </c>
      <c r="F41" s="93">
        <f>$F40+1</f>
        <v>39</v>
      </c>
      <c r="G41" s="33">
        <f>G40+(ROUNDDOWN(F41/10,0)+1)</f>
        <v>99</v>
      </c>
      <c r="H41" s="94">
        <v>0.33</v>
      </c>
      <c r="I41" s="95"/>
      <c r="J41" s="69"/>
    </row>
    <row r="42" spans="1:10" ht="12.75">
      <c r="A42" s="59">
        <v>27549</v>
      </c>
      <c r="B42" s="59">
        <f>A42*castle_stonemultiplier</f>
        <v>27549</v>
      </c>
      <c r="C42" s="59">
        <f>A42*castle_woodmultiplier</f>
        <v>27549</v>
      </c>
      <c r="D42" s="59">
        <f>A42*castle_oremultiplier</f>
        <v>27549</v>
      </c>
      <c r="E42" s="57">
        <v>260089</v>
      </c>
      <c r="F42" s="93">
        <f>$F41+1</f>
        <v>40</v>
      </c>
      <c r="G42" s="33">
        <f>G41+(ROUNDDOWN(F42/10,0)+1)</f>
        <v>104</v>
      </c>
      <c r="H42" s="94">
        <v>0.32</v>
      </c>
      <c r="I42" s="95"/>
      <c r="J42" s="69"/>
    </row>
    <row r="43" spans="1:10" ht="12.75">
      <c r="A43" s="36">
        <v>29753</v>
      </c>
      <c r="B43" s="59">
        <f>A43*castle_stonemultiplier</f>
        <v>29753</v>
      </c>
      <c r="C43" s="59">
        <f>A43*castle_woodmultiplier</f>
        <v>29753</v>
      </c>
      <c r="D43" s="59">
        <f>A43*castle_oremultiplier</f>
        <v>29753</v>
      </c>
      <c r="E43" s="57">
        <v>314708</v>
      </c>
      <c r="F43" s="93">
        <f>$F42+1</f>
        <v>41</v>
      </c>
      <c r="G43" s="33">
        <f>G42+(ROUNDDOWN(F43/10,0)+1)</f>
        <v>109</v>
      </c>
      <c r="H43" s="94">
        <v>0.31</v>
      </c>
      <c r="I43" s="95"/>
      <c r="J43" s="69"/>
    </row>
    <row r="44" spans="1:10" ht="12.75">
      <c r="A44" s="59">
        <v>32134</v>
      </c>
      <c r="B44" s="59">
        <f>A44*castle_stonemultiplier</f>
        <v>32134</v>
      </c>
      <c r="C44" s="59">
        <f>A44*castle_woodmultiplier</f>
        <v>32134</v>
      </c>
      <c r="D44" s="59">
        <f>A44*castle_oremultiplier</f>
        <v>32134</v>
      </c>
      <c r="E44" s="57">
        <v>380797</v>
      </c>
      <c r="F44" s="93">
        <f>$F43+1</f>
        <v>42</v>
      </c>
      <c r="G44" s="33">
        <f>G43+(ROUNDDOWN(F44/10,0)+1)</f>
        <v>114</v>
      </c>
      <c r="H44" s="94">
        <v>0.30000000000000004</v>
      </c>
      <c r="I44" s="95"/>
      <c r="J44" s="69"/>
    </row>
    <row r="45" spans="1:10" ht="12.75">
      <c r="A45" s="59">
        <v>34705</v>
      </c>
      <c r="B45" s="59">
        <f>A45*castle_stonemultiplier</f>
        <v>34705</v>
      </c>
      <c r="C45" s="59">
        <f>A45*castle_woodmultiplier</f>
        <v>34705</v>
      </c>
      <c r="D45" s="59">
        <f>A45*castle_oremultiplier</f>
        <v>34705</v>
      </c>
      <c r="E45" s="57">
        <v>460765</v>
      </c>
      <c r="F45" s="93">
        <f>$F44+1</f>
        <v>43</v>
      </c>
      <c r="G45" s="33">
        <f>G44+(ROUNDDOWN(F45/10,0)+1)</f>
        <v>119</v>
      </c>
      <c r="H45" s="94">
        <v>0.29</v>
      </c>
      <c r="I45" s="95"/>
      <c r="J45" s="69"/>
    </row>
    <row r="46" spans="1:10" ht="12.75">
      <c r="A46" s="59">
        <v>37482</v>
      </c>
      <c r="B46" s="59">
        <f>A46*castle_stonemultiplier</f>
        <v>37482</v>
      </c>
      <c r="C46" s="59">
        <f>A46*castle_woodmultiplier</f>
        <v>37482</v>
      </c>
      <c r="D46" s="59">
        <f>A46*castle_oremultiplier</f>
        <v>37482</v>
      </c>
      <c r="E46" s="57">
        <v>557526</v>
      </c>
      <c r="F46" s="93">
        <f>$F45+1</f>
        <v>44</v>
      </c>
      <c r="G46" s="33">
        <f>G45+(ROUNDDOWN(F46/10,0)+1)</f>
        <v>124</v>
      </c>
      <c r="H46" s="94">
        <v>0.28</v>
      </c>
      <c r="I46" s="95"/>
      <c r="J46" s="69"/>
    </row>
    <row r="47" spans="1:10" ht="12.75">
      <c r="A47" s="59">
        <v>40481</v>
      </c>
      <c r="B47" s="59">
        <f>A47*castle_stonemultiplier</f>
        <v>40481</v>
      </c>
      <c r="C47" s="59">
        <f>A47*castle_woodmultiplier</f>
        <v>40481</v>
      </c>
      <c r="D47" s="59">
        <f>A47*castle_oremultiplier</f>
        <v>40481</v>
      </c>
      <c r="E47" s="57">
        <v>674607</v>
      </c>
      <c r="F47" s="93">
        <f>$F46+1</f>
        <v>45</v>
      </c>
      <c r="G47" s="33">
        <f>G46+(ROUNDDOWN(F47/10,0)+1)</f>
        <v>129</v>
      </c>
      <c r="H47" s="94">
        <v>0.27</v>
      </c>
      <c r="I47" s="95"/>
      <c r="J47" s="69"/>
    </row>
    <row r="48" spans="1:10" ht="12.75">
      <c r="A48" s="59">
        <v>43720</v>
      </c>
      <c r="B48" s="59">
        <f>A48*castle_stonemultiplier</f>
        <v>43720</v>
      </c>
      <c r="C48" s="59">
        <f>A48*castle_woodmultiplier</f>
        <v>43720</v>
      </c>
      <c r="D48" s="59">
        <f>A48*castle_oremultiplier</f>
        <v>43720</v>
      </c>
      <c r="E48" s="57">
        <v>816275</v>
      </c>
      <c r="F48" s="93">
        <f>$F47+1</f>
        <v>46</v>
      </c>
      <c r="G48" s="33">
        <f>G47+(ROUNDDOWN(F48/10,0)+1)</f>
        <v>134</v>
      </c>
      <c r="H48" s="94">
        <v>0.26</v>
      </c>
      <c r="I48" s="95"/>
      <c r="J48" s="69"/>
    </row>
    <row r="49" spans="1:11" ht="12.75">
      <c r="A49" s="59">
        <v>47218</v>
      </c>
      <c r="B49" s="59">
        <f>A49*castle_stonemultiplier</f>
        <v>47218</v>
      </c>
      <c r="C49" s="59">
        <f>A49*castle_woodmultiplier</f>
        <v>47218</v>
      </c>
      <c r="D49" s="59">
        <f>A49*castle_oremultiplier</f>
        <v>47218</v>
      </c>
      <c r="E49" s="57">
        <v>987693</v>
      </c>
      <c r="F49" s="93">
        <f>$F48+1</f>
        <v>47</v>
      </c>
      <c r="G49" s="33">
        <f>G48+(ROUNDDOWN(F49/10,0)+1)</f>
        <v>139</v>
      </c>
      <c r="H49" s="94">
        <v>0.25</v>
      </c>
      <c r="I49" s="95"/>
      <c r="J49" s="69"/>
      <c r="K49" s="98"/>
    </row>
    <row r="50" spans="1:11" ht="12.75">
      <c r="A50" s="59">
        <v>50996</v>
      </c>
      <c r="B50" s="59">
        <f>A50*castle_stonemultiplier</f>
        <v>50996</v>
      </c>
      <c r="C50" s="59">
        <f>A50*castle_woodmultiplier</f>
        <v>50996</v>
      </c>
      <c r="D50" s="59">
        <f>A50*castle_oremultiplier</f>
        <v>50996</v>
      </c>
      <c r="E50" s="57">
        <v>1195109</v>
      </c>
      <c r="F50" s="93">
        <f>$F49+1</f>
        <v>48</v>
      </c>
      <c r="G50" s="33">
        <f>G49+(ROUNDDOWN(F50/10,0)+1)</f>
        <v>144</v>
      </c>
      <c r="H50" s="94">
        <v>0.24</v>
      </c>
      <c r="I50" s="95"/>
      <c r="J50" s="69"/>
      <c r="K50" s="98"/>
    </row>
    <row r="51" spans="1:11" ht="12.75">
      <c r="A51" s="59">
        <v>55076</v>
      </c>
      <c r="B51" s="59">
        <f>A51*castle_stonemultiplier</f>
        <v>55076</v>
      </c>
      <c r="C51" s="59">
        <f>A51*castle_woodmultiplier</f>
        <v>55076</v>
      </c>
      <c r="D51" s="59">
        <f>A51*castle_oremultiplier</f>
        <v>55076</v>
      </c>
      <c r="E51" s="57">
        <v>1446082</v>
      </c>
      <c r="F51" s="93">
        <f>$F50+1</f>
        <v>49</v>
      </c>
      <c r="G51" s="33">
        <f>G50+(ROUNDDOWN(F51/10,0)+1)</f>
        <v>149</v>
      </c>
      <c r="H51" s="94">
        <v>0.23</v>
      </c>
      <c r="I51" s="95"/>
      <c r="J51" s="69"/>
      <c r="K51" s="98"/>
    </row>
    <row r="52" spans="1:11" ht="12.75">
      <c r="A52" s="59">
        <v>59483</v>
      </c>
      <c r="B52" s="59">
        <f>A52*castle_stonemultiplier</f>
        <v>59483</v>
      </c>
      <c r="C52" s="59">
        <f>A52*castle_woodmultiplier</f>
        <v>59483</v>
      </c>
      <c r="D52" s="59">
        <f>A52*castle_oremultiplier</f>
        <v>59483</v>
      </c>
      <c r="E52" s="57">
        <v>1749760</v>
      </c>
      <c r="F52" s="93">
        <f>$F51+1</f>
        <v>50</v>
      </c>
      <c r="G52" s="33">
        <f>G51+(ROUNDDOWN(F52/10,0)+1)</f>
        <v>155</v>
      </c>
      <c r="H52" s="94">
        <v>0.22</v>
      </c>
      <c r="I52" s="95"/>
      <c r="J52" s="69"/>
      <c r="K52" s="98"/>
    </row>
    <row r="53" spans="1:11" ht="12.75">
      <c r="A53" s="59">
        <v>65432</v>
      </c>
      <c r="B53" s="59">
        <f>A53*castle_stonemultiplier</f>
        <v>65432</v>
      </c>
      <c r="C53" s="59">
        <f>A53*castle_woodmultiplier</f>
        <v>65432</v>
      </c>
      <c r="D53" s="59">
        <f>A53*castle_oremultiplier</f>
        <v>65432</v>
      </c>
      <c r="E53" s="57">
        <v>2117210</v>
      </c>
      <c r="F53" s="93">
        <f>$F52+1</f>
        <v>51</v>
      </c>
      <c r="G53" s="33">
        <f>G52+(ROUNDDOWN(F53/10,0)+1)</f>
        <v>161</v>
      </c>
      <c r="H53" s="94">
        <v>0.21</v>
      </c>
      <c r="I53" s="95"/>
      <c r="J53" s="69"/>
      <c r="K53" s="98"/>
    </row>
    <row r="54" spans="1:11" ht="12.75">
      <c r="A54" s="59">
        <v>71976</v>
      </c>
      <c r="B54" s="59">
        <f>A54*castle_stonemultiplier</f>
        <v>71976</v>
      </c>
      <c r="C54" s="59">
        <f>A54*castle_woodmultiplier</f>
        <v>71976</v>
      </c>
      <c r="D54" s="59">
        <f>A54*castle_oremultiplier</f>
        <v>71976</v>
      </c>
      <c r="E54" s="57">
        <v>2561825</v>
      </c>
      <c r="F54" s="93">
        <f>$F53+1</f>
        <v>52</v>
      </c>
      <c r="G54" s="33">
        <f>G53+(ROUNDDOWN(F54/10,0)+1)</f>
        <v>167</v>
      </c>
      <c r="H54" s="94">
        <v>0.2</v>
      </c>
      <c r="I54" s="95"/>
      <c r="J54" s="69"/>
      <c r="K54" s="98"/>
    </row>
    <row r="55" spans="1:11" ht="12.75">
      <c r="A55" s="59">
        <v>79174</v>
      </c>
      <c r="B55" s="59">
        <f>A55*castle_stonemultiplier</f>
        <v>79174</v>
      </c>
      <c r="C55" s="59">
        <f>A55*castle_woodmultiplier</f>
        <v>79174</v>
      </c>
      <c r="D55" s="59">
        <f>A55*castle_oremultiplier</f>
        <v>79174</v>
      </c>
      <c r="E55" s="57">
        <v>3099809</v>
      </c>
      <c r="F55" s="93">
        <f>$F54+1</f>
        <v>53</v>
      </c>
      <c r="G55" s="33">
        <f>G54+(ROUNDDOWN(F55/10,0)+1)</f>
        <v>173</v>
      </c>
      <c r="H55" s="94">
        <v>0.19</v>
      </c>
      <c r="I55" s="95"/>
      <c r="J55" s="69"/>
      <c r="K55" s="98"/>
    </row>
    <row r="56" spans="1:11" ht="12.75">
      <c r="A56" s="59">
        <v>87092</v>
      </c>
      <c r="B56" s="59">
        <f>A56*castle_stonemultiplier</f>
        <v>87092</v>
      </c>
      <c r="C56" s="59">
        <f>A56*castle_woodmultiplier</f>
        <v>87092</v>
      </c>
      <c r="D56" s="59">
        <f>A56*castle_oremultiplier</f>
        <v>87092</v>
      </c>
      <c r="E56" s="57">
        <v>3750769</v>
      </c>
      <c r="F56" s="93">
        <f>$F55+1</f>
        <v>54</v>
      </c>
      <c r="G56" s="33">
        <f>G55+(ROUNDDOWN(F56/10,0)+1)</f>
        <v>179</v>
      </c>
      <c r="H56" s="94">
        <v>0.18</v>
      </c>
      <c r="I56" s="95"/>
      <c r="J56" s="69"/>
      <c r="K56" s="98"/>
    </row>
    <row r="57" spans="1:10" ht="12.75">
      <c r="A57" s="59">
        <v>95802</v>
      </c>
      <c r="B57" s="59">
        <f>A57*castle_stonemultiplier</f>
        <v>95802</v>
      </c>
      <c r="C57" s="59">
        <f>A57*castle_woodmultiplier</f>
        <v>95802</v>
      </c>
      <c r="D57" s="59">
        <f>A57*castle_oremultiplier</f>
        <v>95802</v>
      </c>
      <c r="E57" s="57">
        <v>4538431</v>
      </c>
      <c r="F57" s="93">
        <f>$F56+1</f>
        <v>55</v>
      </c>
      <c r="G57" s="33">
        <f>G56+(ROUNDDOWN(F57/10,0)+1)</f>
        <v>185</v>
      </c>
      <c r="H57" s="94">
        <v>0.17</v>
      </c>
      <c r="I57" s="95"/>
      <c r="J57" s="69"/>
    </row>
    <row r="58" spans="1:11" ht="12.75">
      <c r="A58" s="59">
        <v>105383</v>
      </c>
      <c r="B58" s="59">
        <f>A58*castle_stonemultiplier</f>
        <v>105383</v>
      </c>
      <c r="C58" s="59">
        <f>A58*castle_woodmultiplier</f>
        <v>105383</v>
      </c>
      <c r="D58" s="59">
        <f>A58*castle_oremultiplier</f>
        <v>105383</v>
      </c>
      <c r="E58" s="57">
        <v>5491502</v>
      </c>
      <c r="F58" s="93">
        <f>$F57+1</f>
        <v>56</v>
      </c>
      <c r="G58" s="33">
        <f>G57+(ROUNDDOWN(F58/10,0)+1)</f>
        <v>191</v>
      </c>
      <c r="H58" s="94">
        <v>0.16</v>
      </c>
      <c r="I58" s="95"/>
      <c r="J58" s="69"/>
      <c r="K58" s="69"/>
    </row>
    <row r="59" spans="1:11" ht="12.75">
      <c r="A59" s="59">
        <v>115922</v>
      </c>
      <c r="B59" s="59">
        <f>A59*castle_stonemultiplier</f>
        <v>115922</v>
      </c>
      <c r="C59" s="59">
        <f>A59*castle_woodmultiplier</f>
        <v>115922</v>
      </c>
      <c r="D59" s="59">
        <f>A59*castle_oremultiplier</f>
        <v>115922</v>
      </c>
      <c r="E59" s="57">
        <v>6644718</v>
      </c>
      <c r="F59" s="93">
        <f>$F58+1</f>
        <v>57</v>
      </c>
      <c r="G59" s="33">
        <f>G58+(ROUNDDOWN(F59/10,0)+1)</f>
        <v>197</v>
      </c>
      <c r="H59" s="94">
        <v>0.15</v>
      </c>
      <c r="I59" s="95"/>
      <c r="J59" s="69"/>
      <c r="K59" s="69"/>
    </row>
    <row r="60" spans="1:11" ht="12.75">
      <c r="A60" s="59">
        <v>127515</v>
      </c>
      <c r="B60" s="59">
        <f>A60*castle_stonemultiplier</f>
        <v>127515</v>
      </c>
      <c r="C60" s="59">
        <f>A60*castle_woodmultiplier</f>
        <v>127515</v>
      </c>
      <c r="D60" s="59">
        <f>A60*castle_oremultiplier</f>
        <v>127515</v>
      </c>
      <c r="E60" s="57">
        <v>8040109</v>
      </c>
      <c r="F60" s="93">
        <f>$F59+1</f>
        <v>58</v>
      </c>
      <c r="G60" s="33">
        <f>G59+(ROUNDDOWN(F60/10,0)+1)</f>
        <v>203</v>
      </c>
      <c r="H60" s="94">
        <v>0.14</v>
      </c>
      <c r="I60" s="95"/>
      <c r="J60" s="69"/>
      <c r="K60" s="69"/>
    </row>
    <row r="61" spans="1:11" ht="12.75">
      <c r="A61" s="59">
        <v>140267</v>
      </c>
      <c r="B61" s="59">
        <f>A61*castle_stonemultiplier</f>
        <v>140267</v>
      </c>
      <c r="C61" s="59">
        <f>A61*castle_woodmultiplier</f>
        <v>140267</v>
      </c>
      <c r="D61" s="59">
        <f>A61*castle_oremultiplier</f>
        <v>140267</v>
      </c>
      <c r="E61" s="57">
        <v>9728532</v>
      </c>
      <c r="F61" s="93">
        <f>$F60+1</f>
        <v>59</v>
      </c>
      <c r="G61" s="33">
        <f>G60+(ROUNDDOWN(F61/10,0)+1)</f>
        <v>209</v>
      </c>
      <c r="H61" s="94">
        <v>0.13</v>
      </c>
      <c r="I61" s="95"/>
      <c r="J61" s="69"/>
      <c r="K61" s="69"/>
    </row>
    <row r="62" spans="1:11" ht="12.75">
      <c r="A62" s="59">
        <v>154294</v>
      </c>
      <c r="B62" s="59">
        <f>A62*castle_stonemultiplier</f>
        <v>154294</v>
      </c>
      <c r="C62" s="59">
        <f>A62*castle_woodmultiplier</f>
        <v>154294</v>
      </c>
      <c r="D62" s="59">
        <f>A62*castle_oremultiplier</f>
        <v>154294</v>
      </c>
      <c r="E62" s="57">
        <v>11771524</v>
      </c>
      <c r="F62" s="93">
        <f>$F61+1</f>
        <v>60</v>
      </c>
      <c r="G62" s="33">
        <f>G61+(ROUNDDOWN(F62/10,0)+1)</f>
        <v>216</v>
      </c>
      <c r="H62" s="94">
        <v>0.12</v>
      </c>
      <c r="I62" s="95"/>
      <c r="J62" s="69"/>
      <c r="K62" s="69"/>
    </row>
    <row r="63" spans="1:11" ht="12.75">
      <c r="A63" s="59">
        <v>169724</v>
      </c>
      <c r="B63" s="59">
        <f>A63*castle_stonemultiplier</f>
        <v>169724</v>
      </c>
      <c r="C63" s="59">
        <f>A63*castle_woodmultiplier</f>
        <v>169724</v>
      </c>
      <c r="D63" s="59">
        <f>A63*castle_oremultiplier</f>
        <v>169724</v>
      </c>
      <c r="E63" s="57">
        <v>14243545</v>
      </c>
      <c r="F63" s="93">
        <f>$F62+1</f>
        <v>61</v>
      </c>
      <c r="G63" s="33">
        <f>G62+(ROUNDDOWN(F63/10,0)+1)</f>
        <v>223</v>
      </c>
      <c r="H63" s="94">
        <v>0.11</v>
      </c>
      <c r="I63" s="95"/>
      <c r="J63" s="69"/>
      <c r="K63" s="69"/>
    </row>
    <row r="64" spans="1:11" ht="12.75">
      <c r="A64" s="59">
        <v>186697</v>
      </c>
      <c r="B64" s="59">
        <f>A64*castle_stonemultiplier</f>
        <v>186697</v>
      </c>
      <c r="C64" s="59">
        <f>A64*castle_woodmultiplier</f>
        <v>186697</v>
      </c>
      <c r="D64" s="59">
        <f>A64*castle_oremultiplier</f>
        <v>186697</v>
      </c>
      <c r="E64" s="57">
        <v>17234690</v>
      </c>
      <c r="F64" s="93">
        <f>$F63+1</f>
        <v>62</v>
      </c>
      <c r="G64" s="33">
        <f>G63+(ROUNDDOWN(F64/10,0)+1)</f>
        <v>230</v>
      </c>
      <c r="H64" s="94">
        <v>0.1</v>
      </c>
      <c r="I64" s="95"/>
      <c r="J64" s="69"/>
      <c r="K64" s="69"/>
    </row>
    <row r="65" spans="1:11" ht="12.75">
      <c r="A65" s="59">
        <v>205367</v>
      </c>
      <c r="B65" s="59">
        <f>A65*castle_stonemultiplier</f>
        <v>205367</v>
      </c>
      <c r="C65" s="59">
        <f>A65*castle_woodmultiplier</f>
        <v>205367</v>
      </c>
      <c r="D65" s="59">
        <f>A65*castle_oremultiplier</f>
        <v>205367</v>
      </c>
      <c r="E65" s="57">
        <v>20853975</v>
      </c>
      <c r="F65" s="93">
        <f>$F64+1</f>
        <v>63</v>
      </c>
      <c r="G65" s="33">
        <f>G64+(ROUNDDOWN(F65/10,0)+1)</f>
        <v>237</v>
      </c>
      <c r="H65" s="94">
        <v>0.09</v>
      </c>
      <c r="I65" s="95"/>
      <c r="J65" s="69"/>
      <c r="K65" s="69"/>
    </row>
    <row r="66" spans="1:11" ht="12.75">
      <c r="A66" s="59">
        <v>225904</v>
      </c>
      <c r="B66" s="59">
        <f>A66*castle_stonemultiplier</f>
        <v>225904</v>
      </c>
      <c r="C66" s="59">
        <f>A66*castle_woodmultiplier</f>
        <v>225904</v>
      </c>
      <c r="D66" s="59">
        <f>A66*castle_oremultiplier</f>
        <v>225904</v>
      </c>
      <c r="E66" s="57">
        <v>25233310</v>
      </c>
      <c r="F66" s="93">
        <f>$F65+1</f>
        <v>64</v>
      </c>
      <c r="G66" s="33">
        <f>G65+(ROUNDDOWN(F66/10,0)+1)</f>
        <v>244</v>
      </c>
      <c r="H66" s="94">
        <v>0.08</v>
      </c>
      <c r="I66" s="95"/>
      <c r="J66" s="69"/>
      <c r="K66" s="99"/>
    </row>
    <row r="67" spans="1:11" ht="12.75">
      <c r="A67" s="59">
        <v>248495</v>
      </c>
      <c r="B67" s="59">
        <f>A67*castle_stonemultiplier</f>
        <v>248495</v>
      </c>
      <c r="C67" s="59">
        <f>A67*castle_woodmultiplier</f>
        <v>248495</v>
      </c>
      <c r="D67" s="59">
        <f>A67*castle_oremultiplier</f>
        <v>248495</v>
      </c>
      <c r="E67" s="57">
        <v>30532306</v>
      </c>
      <c r="F67" s="93">
        <f>$F66+1</f>
        <v>65</v>
      </c>
      <c r="G67" s="33">
        <f>G66+(ROUNDDOWN(F67/10,0)+1)</f>
        <v>251</v>
      </c>
      <c r="H67" s="94">
        <v>0.07</v>
      </c>
      <c r="I67" s="95"/>
      <c r="J67" s="69"/>
      <c r="K67" s="99"/>
    </row>
    <row r="68" spans="1:11" ht="12.75">
      <c r="A68" s="59">
        <v>273345</v>
      </c>
      <c r="B68" s="59">
        <f>A68*castle_stonemultiplier</f>
        <v>273345</v>
      </c>
      <c r="C68" s="59">
        <f>A68*castle_woodmultiplier</f>
        <v>273345</v>
      </c>
      <c r="D68" s="59">
        <f>A68*castle_oremultiplier</f>
        <v>273345</v>
      </c>
      <c r="E68" s="57">
        <v>36944091</v>
      </c>
      <c r="F68" s="93">
        <f>$F67+1</f>
        <v>66</v>
      </c>
      <c r="G68" s="33">
        <f>G67+(ROUNDDOWN(F68/10,0)+1)</f>
        <v>258</v>
      </c>
      <c r="H68" s="94">
        <v>0.06</v>
      </c>
      <c r="I68" s="95"/>
      <c r="J68" s="69"/>
      <c r="K68" s="99"/>
    </row>
    <row r="69" spans="1:11" ht="12.75">
      <c r="A69" s="59">
        <v>300680</v>
      </c>
      <c r="B69" s="59">
        <f>A69*castle_stonemultiplier</f>
        <v>300680</v>
      </c>
      <c r="C69" s="59">
        <f>A69*castle_woodmultiplier</f>
        <v>300680</v>
      </c>
      <c r="D69" s="59">
        <f>A69*castle_oremultiplier</f>
        <v>300680</v>
      </c>
      <c r="E69" s="57">
        <v>44702351</v>
      </c>
      <c r="F69" s="93">
        <f>$F68+1</f>
        <v>67</v>
      </c>
      <c r="G69" s="33">
        <f>G68+(ROUNDDOWN(F69/10,0)+1)</f>
        <v>265</v>
      </c>
      <c r="H69" s="94">
        <v>0.05</v>
      </c>
      <c r="I69" s="95"/>
      <c r="J69" s="69"/>
      <c r="K69" s="99"/>
    </row>
    <row r="70" spans="1:11" ht="12.75">
      <c r="A70" s="59">
        <v>330748</v>
      </c>
      <c r="B70" s="59">
        <f>A70*castle_stonemultiplier</f>
        <v>330748</v>
      </c>
      <c r="C70" s="59">
        <f>A70*castle_woodmultiplier</f>
        <v>330748</v>
      </c>
      <c r="D70" s="59">
        <f>A70*castle_oremultiplier</f>
        <v>330748</v>
      </c>
      <c r="E70" s="57">
        <v>54089845</v>
      </c>
      <c r="F70" s="93">
        <f>$F69+1</f>
        <v>68</v>
      </c>
      <c r="G70" s="33">
        <f>G69+(ROUNDDOWN(F70/10,0)+1)</f>
        <v>272</v>
      </c>
      <c r="H70" s="94">
        <v>0.04</v>
      </c>
      <c r="I70" s="95"/>
      <c r="J70" s="69"/>
      <c r="K70" s="99"/>
    </row>
    <row r="71" spans="1:11" ht="12.75">
      <c r="A71" s="59">
        <v>363823</v>
      </c>
      <c r="B71" s="59">
        <f>A71*castle_stonemultiplier</f>
        <v>363823</v>
      </c>
      <c r="C71" s="59">
        <f>A71*castle_woodmultiplier</f>
        <v>363823</v>
      </c>
      <c r="D71" s="59">
        <f>A71*castle_oremultiplier</f>
        <v>363823</v>
      </c>
      <c r="E71" s="57">
        <v>65448713</v>
      </c>
      <c r="F71" s="93">
        <f>$F70+1</f>
        <v>69</v>
      </c>
      <c r="G71" s="33">
        <f>G70+(ROUNDDOWN(F71/10,0)+1)</f>
        <v>279</v>
      </c>
      <c r="H71" s="94">
        <v>0.03</v>
      </c>
      <c r="I71" s="95"/>
      <c r="J71" s="69"/>
      <c r="K71" s="99"/>
    </row>
    <row r="72" spans="1:11" ht="12.75">
      <c r="A72" s="59">
        <v>400206</v>
      </c>
      <c r="B72" s="59">
        <f>A72*castle_stonemultiplier</f>
        <v>400206</v>
      </c>
      <c r="C72" s="59">
        <f>A72*castle_woodmultiplier</f>
        <v>400206</v>
      </c>
      <c r="D72" s="59">
        <f>A72*castle_oremultiplier</f>
        <v>400206</v>
      </c>
      <c r="E72" s="57">
        <v>79192943</v>
      </c>
      <c r="F72" s="93">
        <f>$F71+1</f>
        <v>70</v>
      </c>
      <c r="G72" s="33">
        <f>G71+(ROUNDDOWN(F72/10,0)+1)</f>
        <v>287</v>
      </c>
      <c r="H72" s="94">
        <v>0.02</v>
      </c>
      <c r="I72" s="95"/>
      <c r="J72" s="69"/>
      <c r="K72" s="99"/>
    </row>
    <row r="73" spans="1:11" ht="12.75">
      <c r="A73" s="59">
        <v>440227</v>
      </c>
      <c r="B73" s="59">
        <f>A73*castle_stonemultiplier</f>
        <v>440227</v>
      </c>
      <c r="C73" s="59">
        <f>A73*castle_woodmultiplier</f>
        <v>440227</v>
      </c>
      <c r="D73" s="59">
        <f>A73*castle_oremultiplier</f>
        <v>440227</v>
      </c>
      <c r="E73" s="57">
        <v>95823462</v>
      </c>
      <c r="F73" s="93">
        <f>$F72+1</f>
        <v>71</v>
      </c>
      <c r="G73" s="33">
        <f>G72+(ROUNDDOWN(F73/10,0)+1)</f>
        <v>295</v>
      </c>
      <c r="H73" s="94">
        <v>0.01</v>
      </c>
      <c r="I73" s="95"/>
      <c r="J73" s="69"/>
      <c r="K73" s="99"/>
    </row>
    <row r="74" spans="1:11" ht="12.75">
      <c r="A74" s="59">
        <v>484250</v>
      </c>
      <c r="B74" s="59">
        <f>A74*castle_stonemultiplier</f>
        <v>484250</v>
      </c>
      <c r="C74" s="59">
        <f>A74*castle_woodmultiplier</f>
        <v>484250</v>
      </c>
      <c r="D74" s="59">
        <f>A74*castle_oremultiplier</f>
        <v>484250</v>
      </c>
      <c r="E74" s="57">
        <v>115946390</v>
      </c>
      <c r="F74" s="93">
        <f>$F73+1</f>
        <v>72</v>
      </c>
      <c r="G74" s="33">
        <f>G73+(ROUNDDOWN(F74/10,0)+1)</f>
        <v>303</v>
      </c>
      <c r="H74" s="94">
        <v>0.0097</v>
      </c>
      <c r="I74" s="95"/>
      <c r="J74" s="69"/>
      <c r="K74" s="99"/>
    </row>
    <row r="75" spans="1:11" ht="12.75">
      <c r="A75" s="59">
        <v>532675</v>
      </c>
      <c r="B75" s="59">
        <f>A75*castle_stonemultiplier</f>
        <v>532675</v>
      </c>
      <c r="C75" s="59">
        <f>A75*castle_woodmultiplier</f>
        <v>532675</v>
      </c>
      <c r="D75" s="59">
        <f>A75*castle_oremultiplier</f>
        <v>532675</v>
      </c>
      <c r="E75" s="57">
        <v>140295132</v>
      </c>
      <c r="F75" s="93">
        <f>$F74+1</f>
        <v>73</v>
      </c>
      <c r="G75" s="33">
        <f>G74+(ROUNDDOWN(F75/10,0)+1)</f>
        <v>311</v>
      </c>
      <c r="H75" s="94">
        <v>0.0094</v>
      </c>
      <c r="I75" s="95"/>
      <c r="J75" s="69"/>
      <c r="K75" s="99"/>
    </row>
    <row r="76" spans="1:11" ht="12.75">
      <c r="A76" s="59">
        <v>585943</v>
      </c>
      <c r="B76" s="59">
        <f>A76*castle_stonemultiplier</f>
        <v>585943</v>
      </c>
      <c r="C76" s="59">
        <f>A76*castle_woodmultiplier</f>
        <v>585943</v>
      </c>
      <c r="D76" s="59">
        <f>A76*castle_oremultiplier</f>
        <v>585943</v>
      </c>
      <c r="E76" s="57">
        <v>169757110</v>
      </c>
      <c r="F76" s="93">
        <f>$F75+1</f>
        <v>74</v>
      </c>
      <c r="G76" s="33">
        <f>G75+(ROUNDDOWN(F76/10,0)+1)</f>
        <v>319</v>
      </c>
      <c r="H76" s="94">
        <v>0.0091</v>
      </c>
      <c r="I76" s="95"/>
      <c r="J76" s="69"/>
      <c r="K76" s="69"/>
    </row>
    <row r="77" spans="1:11" ht="12.75">
      <c r="A77" s="59">
        <v>644538</v>
      </c>
      <c r="B77" s="59">
        <f>A77*castle_stonemultiplier</f>
        <v>644538</v>
      </c>
      <c r="C77" s="59">
        <f>A77*castle_woodmultiplier</f>
        <v>644538</v>
      </c>
      <c r="D77" s="59">
        <f>A77*castle_oremultiplier</f>
        <v>644538</v>
      </c>
      <c r="E77" s="57">
        <v>205406104</v>
      </c>
      <c r="F77" s="93">
        <f>$F76+1</f>
        <v>75</v>
      </c>
      <c r="G77" s="33">
        <f>G76+(ROUNDDOWN(F77/10,0)+1)</f>
        <v>327</v>
      </c>
      <c r="H77" s="94">
        <v>0.0088</v>
      </c>
      <c r="I77" s="95"/>
      <c r="J77" s="69"/>
      <c r="K77" s="69"/>
    </row>
    <row r="78" spans="1:11" ht="12.75">
      <c r="A78" s="59">
        <v>708992</v>
      </c>
      <c r="B78" s="59">
        <f>A78*castle_stonemultiplier</f>
        <v>708992</v>
      </c>
      <c r="C78" s="59">
        <f>A78*castle_woodmultiplier</f>
        <v>708992</v>
      </c>
      <c r="D78" s="59">
        <f>A78*castle_oremultiplier</f>
        <v>708992</v>
      </c>
      <c r="E78" s="57">
        <v>248541386</v>
      </c>
      <c r="F78" s="93">
        <f>$F77+1</f>
        <v>76</v>
      </c>
      <c r="G78" s="33">
        <f>G77+(ROUNDDOWN(F78/10,0)+1)</f>
        <v>335</v>
      </c>
      <c r="H78" s="94">
        <v>0.0085</v>
      </c>
      <c r="I78" s="95"/>
      <c r="J78" s="69"/>
      <c r="K78" s="69"/>
    </row>
    <row r="79" spans="1:11" ht="12.75">
      <c r="A79" s="59">
        <v>779892</v>
      </c>
      <c r="B79" s="59">
        <f>A79*castle_stonemultiplier</f>
        <v>779892</v>
      </c>
      <c r="C79" s="59">
        <f>A79*castle_woodmultiplier</f>
        <v>779892</v>
      </c>
      <c r="D79" s="59">
        <f>A79*castle_oremultiplier</f>
        <v>779892</v>
      </c>
      <c r="E79" s="57">
        <v>300735078</v>
      </c>
      <c r="F79" s="93">
        <f>$F78+1</f>
        <v>77</v>
      </c>
      <c r="G79" s="33">
        <f>G78+(ROUNDDOWN(F79/10,0)+1)</f>
        <v>343</v>
      </c>
      <c r="H79" s="94">
        <v>0.0082</v>
      </c>
      <c r="I79" s="95"/>
      <c r="J79" s="69"/>
      <c r="K79" s="69"/>
    </row>
    <row r="80" spans="1:11" ht="12.75">
      <c r="A80" s="59">
        <v>857882</v>
      </c>
      <c r="B80" s="59">
        <f>A80*castle_stonemultiplier</f>
        <v>857882</v>
      </c>
      <c r="C80" s="59">
        <f>A80*castle_woodmultiplier</f>
        <v>857882</v>
      </c>
      <c r="D80" s="59">
        <f>A80*castle_oremultiplier</f>
        <v>857882</v>
      </c>
      <c r="E80" s="57">
        <v>363889445</v>
      </c>
      <c r="F80" s="93">
        <f>$F79+1</f>
        <v>78</v>
      </c>
      <c r="G80" s="33">
        <f>G79+(ROUNDDOWN(F80/10,0)+1)</f>
        <v>351</v>
      </c>
      <c r="H80" s="94">
        <v>0.0079</v>
      </c>
      <c r="I80" s="95"/>
      <c r="J80" s="69"/>
      <c r="K80" s="69"/>
    </row>
    <row r="81" spans="1:11" ht="12.75">
      <c r="A81" s="59">
        <v>943671</v>
      </c>
      <c r="B81" s="59">
        <f>A81*castle_stonemultiplier</f>
        <v>943671</v>
      </c>
      <c r="C81" s="59">
        <f>A81*castle_woodmultiplier</f>
        <v>943671</v>
      </c>
      <c r="D81" s="59">
        <f>A81*castle_oremultiplier</f>
        <v>943671</v>
      </c>
      <c r="E81" s="57">
        <v>440306229</v>
      </c>
      <c r="F81" s="93">
        <f>$F80+1</f>
        <v>79</v>
      </c>
      <c r="G81" s="33">
        <f>G80+(ROUNDDOWN(F81/10,0)+1)</f>
        <v>359</v>
      </c>
      <c r="H81" s="94">
        <v>0.0076</v>
      </c>
      <c r="I81" s="95"/>
      <c r="J81" s="69"/>
      <c r="K81" s="69"/>
    </row>
    <row r="82" spans="1:11" ht="12.75">
      <c r="A82" s="59">
        <v>1038039</v>
      </c>
      <c r="B82" s="59">
        <f>A82*castle_stonemultiplier</f>
        <v>1038039</v>
      </c>
      <c r="C82" s="59">
        <f>A82*castle_woodmultiplier</f>
        <v>1038039</v>
      </c>
      <c r="D82" s="59">
        <f>A82*castle_oremultiplier</f>
        <v>1038039</v>
      </c>
      <c r="E82" s="57">
        <v>532770538</v>
      </c>
      <c r="F82" s="93">
        <f>$F81+1</f>
        <v>80</v>
      </c>
      <c r="G82" s="33">
        <f>G81+(ROUNDDOWN(F82/10,0)+1)</f>
        <v>368</v>
      </c>
      <c r="H82" s="94">
        <v>0.0073</v>
      </c>
      <c r="I82" s="95"/>
      <c r="J82" s="69"/>
      <c r="K82" s="69"/>
    </row>
    <row r="83" spans="1:11" ht="12.75">
      <c r="A83" s="59">
        <v>1141843</v>
      </c>
      <c r="B83" s="59">
        <f>A83*castle_stonemultiplier</f>
        <v>1141843</v>
      </c>
      <c r="C83" s="59">
        <f>A83*castle_woodmultiplier</f>
        <v>1141843</v>
      </c>
      <c r="D83" s="59">
        <f>A83*castle_oremultiplier</f>
        <v>1141843</v>
      </c>
      <c r="E83" s="57">
        <v>644652351</v>
      </c>
      <c r="F83" s="93">
        <f>$F82+1</f>
        <v>81</v>
      </c>
      <c r="G83" s="33">
        <f>G82+(ROUNDDOWN(F83/10,0)+1)</f>
        <v>377</v>
      </c>
      <c r="H83" s="94">
        <v>0.007</v>
      </c>
      <c r="I83" s="95"/>
      <c r="J83" s="69"/>
      <c r="K83" s="69"/>
    </row>
    <row r="84" spans="1:11" ht="12.75">
      <c r="A84" s="59">
        <v>1256028</v>
      </c>
      <c r="B84" s="59">
        <f>A84*castle_stonemultiplier</f>
        <v>1256028</v>
      </c>
      <c r="C84" s="59">
        <f>A84*castle_woodmultiplier</f>
        <v>1256028</v>
      </c>
      <c r="D84" s="59">
        <f>A84*castle_oremultiplier</f>
        <v>1256028</v>
      </c>
      <c r="E84" s="57">
        <v>780029345</v>
      </c>
      <c r="F84" s="93">
        <f>$F83+1</f>
        <v>82</v>
      </c>
      <c r="G84" s="33">
        <f>G83+(ROUNDDOWN(F84/10,0)+1)</f>
        <v>386</v>
      </c>
      <c r="H84" s="94">
        <v>0.0067</v>
      </c>
      <c r="I84" s="95"/>
      <c r="J84" s="69"/>
      <c r="K84" s="69"/>
    </row>
    <row r="85" spans="1:11" ht="12.75">
      <c r="A85" s="59">
        <v>1381631</v>
      </c>
      <c r="B85" s="59">
        <f>A85*castle_stonemultiplier</f>
        <v>1381631</v>
      </c>
      <c r="C85" s="59">
        <f>A85*castle_woodmultiplier</f>
        <v>1381631</v>
      </c>
      <c r="D85" s="59">
        <f>A85*castle_oremultiplier</f>
        <v>1381631</v>
      </c>
      <c r="E85" s="57">
        <v>943835508</v>
      </c>
      <c r="F85" s="93">
        <f>$F84+1</f>
        <v>83</v>
      </c>
      <c r="G85" s="33">
        <f>G84+(ROUNDDOWN(F85/10,0)+1)</f>
        <v>395</v>
      </c>
      <c r="H85" s="94">
        <v>0.0064</v>
      </c>
      <c r="I85" s="95"/>
      <c r="J85" s="69"/>
      <c r="K85" s="69"/>
    </row>
    <row r="86" spans="1:11" ht="12.75">
      <c r="A86" s="59">
        <v>1519795</v>
      </c>
      <c r="B86" s="59">
        <f>A86*castle_stonemultiplier</f>
        <v>1519795</v>
      </c>
      <c r="C86" s="59">
        <f>A86*castle_woodmultiplier</f>
        <v>1519795</v>
      </c>
      <c r="D86" s="59">
        <f>A86*castle_oremultiplier</f>
        <v>1519795</v>
      </c>
      <c r="E86" s="57">
        <v>1142040965</v>
      </c>
      <c r="F86" s="93">
        <f>$F85+1</f>
        <v>84</v>
      </c>
      <c r="G86" s="33">
        <f>G85+(ROUNDDOWN(F86/10,0)+1)</f>
        <v>404</v>
      </c>
      <c r="H86" s="94">
        <v>0.0061</v>
      </c>
      <c r="I86" s="95"/>
      <c r="J86" s="69"/>
      <c r="K86" s="69"/>
    </row>
    <row r="87" spans="1:11" ht="12.75">
      <c r="A87" s="59">
        <v>1671775</v>
      </c>
      <c r="B87" s="59">
        <f>A87*castle_stonemultiplier</f>
        <v>1671775</v>
      </c>
      <c r="C87" s="59">
        <f>A87*castle_woodmultiplier</f>
        <v>1671775</v>
      </c>
      <c r="D87" s="59">
        <f>A87*castle_oremultiplier</f>
        <v>1671775</v>
      </c>
      <c r="E87" s="57">
        <v>1381869568</v>
      </c>
      <c r="F87" s="93">
        <f>$F86+1</f>
        <v>85</v>
      </c>
      <c r="G87" s="33">
        <f>G86+(ROUNDDOWN(F87/10,0)+1)</f>
        <v>413</v>
      </c>
      <c r="H87" s="94">
        <v>0.0057</v>
      </c>
      <c r="I87" s="95"/>
      <c r="J87" s="69"/>
      <c r="K87" s="69"/>
    </row>
    <row r="88" spans="1:11" ht="12.75">
      <c r="A88" s="59">
        <v>1838953</v>
      </c>
      <c r="B88" s="59">
        <f>A88*castle_stonemultiplier</f>
        <v>1838953</v>
      </c>
      <c r="C88" s="59">
        <f>A88*castle_woodmultiplier</f>
        <v>1838953</v>
      </c>
      <c r="D88" s="59">
        <f>A88*castle_oremultiplier</f>
        <v>1838953</v>
      </c>
      <c r="E88" s="57">
        <v>1672062178</v>
      </c>
      <c r="F88" s="93">
        <f>$F87+1</f>
        <v>86</v>
      </c>
      <c r="G88" s="33">
        <f>G87+(ROUNDDOWN(F88/10,0)+1)</f>
        <v>422</v>
      </c>
      <c r="H88" s="94">
        <v>0.0054</v>
      </c>
      <c r="I88" s="95"/>
      <c r="J88" s="69"/>
      <c r="K88" s="69"/>
    </row>
    <row r="89" spans="1:11" ht="12.75">
      <c r="A89" s="59">
        <v>2022849</v>
      </c>
      <c r="B89" s="59">
        <f>A89*castle_stonemultiplier</f>
        <v>2022849</v>
      </c>
      <c r="C89" s="59">
        <f>A89*castle_woodmultiplier</f>
        <v>2022849</v>
      </c>
      <c r="D89" s="59">
        <f>A89*castle_oremultiplier</f>
        <v>2022849</v>
      </c>
      <c r="E89" s="57">
        <v>2023195236</v>
      </c>
      <c r="F89" s="93">
        <f>$F88+1</f>
        <v>87</v>
      </c>
      <c r="G89" s="33">
        <f>G88+(ROUNDDOWN(F89/10,0)+1)</f>
        <v>431</v>
      </c>
      <c r="H89" s="94">
        <v>0.005</v>
      </c>
      <c r="I89" s="95"/>
      <c r="J89" s="69"/>
      <c r="K89" s="69"/>
    </row>
    <row r="90" spans="1:11" ht="12.75">
      <c r="A90" s="59">
        <v>2225134</v>
      </c>
      <c r="B90" s="59">
        <f>A90*castle_stonemultiplier</f>
        <v>2225134</v>
      </c>
      <c r="C90" s="59">
        <f>A90*castle_woodmultiplier</f>
        <v>2225134</v>
      </c>
      <c r="D90" s="59">
        <f>A90*castle_oremultiplier</f>
        <v>2225134</v>
      </c>
      <c r="E90" s="57">
        <v>2448066236</v>
      </c>
      <c r="F90" s="93">
        <f>$F89+1</f>
        <v>88</v>
      </c>
      <c r="G90" s="33">
        <f>G89+(ROUNDDOWN(F90/10,0)+1)</f>
        <v>440</v>
      </c>
      <c r="H90" s="94">
        <v>0.0047</v>
      </c>
      <c r="I90" s="95"/>
      <c r="J90" s="69"/>
      <c r="K90" s="69"/>
    </row>
    <row r="91" spans="1:11" ht="12.75">
      <c r="A91" s="59">
        <v>2447648</v>
      </c>
      <c r="B91" s="59">
        <f>A91*castle_stonemultiplier</f>
        <v>2447648</v>
      </c>
      <c r="C91" s="59">
        <f>A91*castle_woodmultiplier</f>
        <v>2447648</v>
      </c>
      <c r="D91" s="59">
        <f>A91*castle_oremultiplier</f>
        <v>2447648</v>
      </c>
      <c r="E91" s="57">
        <v>2962160146</v>
      </c>
      <c r="F91" s="93">
        <f>$F90+1</f>
        <v>89</v>
      </c>
      <c r="G91" s="33">
        <f>G90+(ROUNDDOWN(F91/10,0)+1)</f>
        <v>449</v>
      </c>
      <c r="H91" s="94">
        <v>0.0043</v>
      </c>
      <c r="I91" s="95"/>
      <c r="J91" s="69"/>
      <c r="K91" s="69"/>
    </row>
    <row r="92" spans="1:11" ht="12.75">
      <c r="A92" s="59">
        <v>2692413</v>
      </c>
      <c r="B92" s="59">
        <f>A92*castle_stonemultiplier</f>
        <v>2692413</v>
      </c>
      <c r="C92" s="59">
        <f>A92*castle_woodmultiplier</f>
        <v>2692413</v>
      </c>
      <c r="D92" s="59">
        <f>A92*castle_oremultiplier</f>
        <v>2692413</v>
      </c>
      <c r="E92" s="57">
        <v>3584213777</v>
      </c>
      <c r="F92" s="93">
        <f>$F91+1</f>
        <v>90</v>
      </c>
      <c r="G92" s="33">
        <f>G91+(ROUNDDOWN(F92/10,0)+1)</f>
        <v>459</v>
      </c>
      <c r="H92" s="94">
        <v>0.004</v>
      </c>
      <c r="I92" s="95"/>
      <c r="J92" s="69"/>
      <c r="K92" s="69"/>
    </row>
    <row r="93" spans="1:11" ht="12.75">
      <c r="A93" s="59">
        <v>2961655</v>
      </c>
      <c r="B93" s="59">
        <f>A93*castle_stonemultiplier</f>
        <v>2961655</v>
      </c>
      <c r="C93" s="59">
        <f>A93*castle_woodmultiplier</f>
        <v>2961655</v>
      </c>
      <c r="D93" s="59">
        <f>A93*castle_oremultiplier</f>
        <v>2961655</v>
      </c>
      <c r="E93" s="57">
        <v>4336898671</v>
      </c>
      <c r="F93" s="93">
        <f>$F92+1</f>
        <v>91</v>
      </c>
      <c r="G93" s="33">
        <f>G92+(ROUNDDOWN(F93/10,0)+1)</f>
        <v>469</v>
      </c>
      <c r="H93" s="94">
        <v>0.0037</v>
      </c>
      <c r="I93" s="95"/>
      <c r="J93" s="69"/>
      <c r="K93" s="69"/>
    </row>
    <row r="94" spans="1:11" ht="12.75">
      <c r="A94" s="59">
        <v>3257821</v>
      </c>
      <c r="B94" s="59">
        <f>A94*castle_stonemultiplier</f>
        <v>3257821</v>
      </c>
      <c r="C94" s="59">
        <f>A94*castle_woodmultiplier</f>
        <v>3257821</v>
      </c>
      <c r="D94" s="59">
        <f>A94*castle_oremultiplier</f>
        <v>3257821</v>
      </c>
      <c r="E94" s="57">
        <v>5247647392</v>
      </c>
      <c r="F94" s="93">
        <f>$F93+1</f>
        <v>92</v>
      </c>
      <c r="G94" s="33">
        <f>G93+(ROUNDDOWN(F94/10,0)+1)</f>
        <v>479</v>
      </c>
      <c r="H94" s="94">
        <v>0.0034000000000000002</v>
      </c>
      <c r="I94" s="95"/>
      <c r="J94" s="69"/>
      <c r="K94" s="69"/>
    </row>
    <row r="95" spans="1:11" ht="12.75">
      <c r="A95" s="59">
        <v>3583604</v>
      </c>
      <c r="B95" s="59">
        <f>A95*castle_stonemultiplier</f>
        <v>3583604</v>
      </c>
      <c r="C95" s="59">
        <f>A95*castle_woodmultiplier</f>
        <v>3583604</v>
      </c>
      <c r="D95" s="59">
        <f>A95*castle_oremultiplier</f>
        <v>3583604</v>
      </c>
      <c r="E95" s="57">
        <v>6349653345</v>
      </c>
      <c r="F95" s="93">
        <f>$F94+1</f>
        <v>93</v>
      </c>
      <c r="G95" s="33">
        <f>G94+(ROUNDDOWN(F95/10,0)+1)</f>
        <v>489</v>
      </c>
      <c r="H95" s="94">
        <v>0.003</v>
      </c>
      <c r="I95" s="95"/>
      <c r="J95" s="69"/>
      <c r="K95" s="69"/>
    </row>
    <row r="96" spans="1:11" ht="12.75">
      <c r="A96" s="59">
        <v>3941965</v>
      </c>
      <c r="B96" s="59">
        <f>A96*castle_stonemultiplier</f>
        <v>3941965</v>
      </c>
      <c r="C96" s="59">
        <f>A96*castle_woodmultiplier</f>
        <v>3941965</v>
      </c>
      <c r="D96" s="59">
        <f>A96*castle_oremultiplier</f>
        <v>3941965</v>
      </c>
      <c r="E96" s="57">
        <v>7683080548</v>
      </c>
      <c r="F96" s="93">
        <f>$F95+1</f>
        <v>94</v>
      </c>
      <c r="G96" s="33">
        <f>G95+(ROUNDDOWN(F96/10,0)+1)</f>
        <v>499</v>
      </c>
      <c r="H96" s="94">
        <v>0.0027</v>
      </c>
      <c r="I96" s="95"/>
      <c r="J96" s="69"/>
      <c r="K96" s="69"/>
    </row>
    <row r="97" spans="1:11" ht="12.75">
      <c r="A97" s="59">
        <v>4336162</v>
      </c>
      <c r="B97" s="59">
        <f>A97*castle_stonemultiplier</f>
        <v>4336162</v>
      </c>
      <c r="C97" s="59">
        <f>A97*castle_woodmultiplier</f>
        <v>4336162</v>
      </c>
      <c r="D97" s="59">
        <f>A97*castle_oremultiplier</f>
        <v>4336162</v>
      </c>
      <c r="E97" s="57">
        <v>9296527464</v>
      </c>
      <c r="F97" s="93">
        <f>$F96+1</f>
        <v>95</v>
      </c>
      <c r="G97" s="33">
        <f>G96+(ROUNDDOWN(F97/10,0)+1)</f>
        <v>509</v>
      </c>
      <c r="H97" s="94">
        <v>0.0024000000000000002</v>
      </c>
      <c r="I97" s="95"/>
      <c r="J97" s="69"/>
      <c r="K97" s="69"/>
    </row>
    <row r="98" spans="1:11" ht="12.75">
      <c r="A98" s="59">
        <v>4769779</v>
      </c>
      <c r="B98" s="59">
        <f>A98*castle_stonemultiplier</f>
        <v>4769779</v>
      </c>
      <c r="C98" s="59">
        <f>A98*castle_woodmultiplier</f>
        <v>4769779</v>
      </c>
      <c r="D98" s="59">
        <f>A98*castle_oremultiplier</f>
        <v>4769779</v>
      </c>
      <c r="E98" s="57">
        <v>11248798232</v>
      </c>
      <c r="F98" s="93">
        <f>$F97+1</f>
        <v>96</v>
      </c>
      <c r="G98" s="33">
        <f>G97+(ROUNDDOWN(F98/10,0)+1)</f>
        <v>519</v>
      </c>
      <c r="H98" s="94">
        <v>0.0021000000000000003</v>
      </c>
      <c r="I98" s="95"/>
      <c r="J98" s="69"/>
      <c r="K98" s="69"/>
    </row>
    <row r="99" spans="1:11" ht="12.75">
      <c r="A99" s="59">
        <v>5246757</v>
      </c>
      <c r="B99" s="59">
        <f>A99*castle_stonemultiplier</f>
        <v>5246757</v>
      </c>
      <c r="C99" s="59">
        <f>A99*castle_woodmultiplier</f>
        <v>5246757</v>
      </c>
      <c r="D99" s="59">
        <f>A99*castle_oremultiplier</f>
        <v>5246757</v>
      </c>
      <c r="E99" s="57">
        <v>13611045861</v>
      </c>
      <c r="F99" s="93">
        <f>$F98+1</f>
        <v>97</v>
      </c>
      <c r="G99" s="33">
        <f>G98+(ROUNDDOWN(F99/10,0)+1)</f>
        <v>529</v>
      </c>
      <c r="H99" s="94">
        <v>0.0018000000000000002</v>
      </c>
      <c r="I99" s="95"/>
      <c r="J99" s="69"/>
      <c r="K99" s="69"/>
    </row>
    <row r="100" spans="1:11" ht="12.75">
      <c r="A100" s="59">
        <v>5771433</v>
      </c>
      <c r="B100" s="59">
        <f>A100*castle_stonemultiplier</f>
        <v>5771433</v>
      </c>
      <c r="C100" s="59">
        <f>A100*castle_woodmultiplier</f>
        <v>5771433</v>
      </c>
      <c r="D100" s="59">
        <f>A100*castle_oremultiplier</f>
        <v>5771433</v>
      </c>
      <c r="E100" s="57">
        <v>16469365492</v>
      </c>
      <c r="F100" s="93">
        <f>$F99+1</f>
        <v>98</v>
      </c>
      <c r="G100" s="33">
        <f>G99+(ROUNDDOWN(F100/10,0)+1)</f>
        <v>539</v>
      </c>
      <c r="H100" s="94">
        <v>0.0015</v>
      </c>
      <c r="I100" s="95"/>
      <c r="J100" s="69"/>
      <c r="K100" s="69"/>
    </row>
    <row r="101" spans="1:11" ht="12.75">
      <c r="A101" s="59">
        <v>6348577</v>
      </c>
      <c r="B101" s="59">
        <f>A101*castle_stonemultiplier</f>
        <v>6348577</v>
      </c>
      <c r="C101" s="59">
        <f>A101*castle_woodmultiplier</f>
        <v>6348577</v>
      </c>
      <c r="D101" s="59">
        <f>A101*castle_oremultiplier</f>
        <v>6348577</v>
      </c>
      <c r="E101" s="57">
        <v>19927932246</v>
      </c>
      <c r="F101" s="93">
        <f>$F100+1</f>
        <v>99</v>
      </c>
      <c r="G101" s="33">
        <f>G100+(ROUNDDOWN(F101/10,0)+1)</f>
        <v>549</v>
      </c>
      <c r="H101" s="94">
        <v>0.0012000000000000001</v>
      </c>
      <c r="I101" s="95"/>
      <c r="J101" s="69"/>
      <c r="K101" s="69"/>
    </row>
    <row r="102" spans="1:11" ht="12.75">
      <c r="A102" s="63">
        <v>6983435</v>
      </c>
      <c r="B102" s="59">
        <f>A102*castle_stonemultiplier</f>
        <v>6983435</v>
      </c>
      <c r="C102" s="59">
        <f>A102*castle_woodmultiplier</f>
        <v>6983435</v>
      </c>
      <c r="D102" s="59">
        <f>A102*castle_oremultiplier</f>
        <v>6983435</v>
      </c>
      <c r="E102" s="65">
        <v>24112798018</v>
      </c>
      <c r="F102" s="100">
        <f>$F101+1</f>
        <v>100</v>
      </c>
      <c r="G102" s="37">
        <f>G101+(ROUNDDOWN(F102/10,0)+1)</f>
        <v>560</v>
      </c>
      <c r="H102" s="101">
        <v>0.001</v>
      </c>
      <c r="I102" s="95"/>
      <c r="J102" s="69"/>
      <c r="K102" s="69"/>
    </row>
  </sheetData>
  <sheetProtection selectLockedCells="1" selectUnlockedCells="1"/>
  <mergeCells count="12">
    <mergeCell ref="K1:L1"/>
    <mergeCell ref="K2:L2"/>
    <mergeCell ref="K3:L3"/>
    <mergeCell ref="K4:L4"/>
    <mergeCell ref="K5:L5"/>
    <mergeCell ref="K6:L6"/>
    <mergeCell ref="K7:L7"/>
    <mergeCell ref="K8:L8"/>
    <mergeCell ref="K9:L9"/>
    <mergeCell ref="K10:L10"/>
    <mergeCell ref="K11:L11"/>
    <mergeCell ref="K12:L12"/>
  </mergeCells>
  <printOptions/>
  <pageMargins left="1" right="1" top="1.1388888888888888" bottom="1.1388888888888888" header="1" footer="1"/>
  <pageSetup cellComments="atEnd" firstPageNumber="1" useFirstPageNumber="1" horizontalDpi="300" verticalDpi="300" orientation="portrait"/>
  <headerFooter alignWithMargins="0">
    <oddHeader>&amp;C&amp;"Arial,Regular"&amp;A</oddHeader>
    <oddFooter>&amp;C&amp;"Arial,Regular"Page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2013-10-13T16:39:22Z</dcterms:created>
  <dcterms:modified xsi:type="dcterms:W3CDTF">2013-10-26T11:36:18Z</dcterms:modified>
  <cp:category/>
  <cp:version/>
  <cp:contentType/>
  <cp:contentStatus/>
  <cp:revision>2</cp:revision>
</cp:coreProperties>
</file>